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WHscf4zdHHbwEC0k0QEmVbNJJwcc36Pk4ybBDsGHNExVl7gATlRdp+bdl9pCLK2s9ugH0qs8udivopOaiPDEXw==" workbookSaltValue="JRWMj+ftXuwPp3mz3iAOyA==" workbookSpinCount="100000" lockStructure="1"/>
  <bookViews>
    <workbookView xWindow="0" yWindow="0" windowWidth="19440" windowHeight="9675"/>
  </bookViews>
  <sheets>
    <sheet name="Calculator" sheetId="6" r:id="rId1"/>
    <sheet name="Life Annuity Factors" sheetId="4" state="hidden" r:id="rId2"/>
    <sheet name="Calculation" sheetId="1" state="hidden" r:id="rId3"/>
    <sheet name="Inputs for RSU" sheetId="8" state="hidden" r:id="rId4"/>
  </sheets>
  <definedNames>
    <definedName name="_xlnm.Print_Area" localSheetId="2">Calculation!$A$1:$AK$86</definedName>
    <definedName name="_xlnm.Print_Area" localSheetId="0">Calculator!$A$1:$E$67</definedName>
    <definedName name="_xlnm.Print_Area" localSheetId="1">'Life Annuity Factors'!$A$5:$J$62</definedName>
  </definedNames>
  <calcPr calcId="152511"/>
</workbook>
</file>

<file path=xl/calcChain.xml><?xml version="1.0" encoding="utf-8"?>
<calcChain xmlns="http://schemas.openxmlformats.org/spreadsheetml/2006/main">
  <c r="H11" i="1" l="1"/>
  <c r="X32" i="1" s="1"/>
  <c r="H10" i="1"/>
  <c r="B39" i="6" l="1"/>
  <c r="A7" i="6" l="1"/>
  <c r="A3" i="6"/>
  <c r="AF42" i="1" l="1"/>
  <c r="AF43" i="1" s="1"/>
  <c r="AF44" i="1" s="1"/>
  <c r="AF45" i="1" l="1"/>
  <c r="AF46" i="1" l="1"/>
  <c r="AF47" i="1" l="1"/>
  <c r="D15" i="4"/>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H12" i="1"/>
  <c r="D34" i="6" l="1"/>
  <c r="AF48" i="1"/>
  <c r="AF49" i="1" l="1"/>
  <c r="H5" i="1"/>
  <c r="D36" i="1" s="1"/>
  <c r="H7" i="1"/>
  <c r="H8" i="1"/>
  <c r="H9" i="1"/>
  <c r="E36" i="1" s="1"/>
  <c r="E27" i="1"/>
  <c r="F27" i="1" s="1"/>
  <c r="G27" i="1" s="1"/>
  <c r="H27" i="1" s="1"/>
  <c r="I27" i="1" s="1"/>
  <c r="J27" i="1" s="1"/>
  <c r="K27" i="1" s="1"/>
  <c r="L27" i="1" s="1"/>
  <c r="M27" i="1" s="1"/>
  <c r="N27" i="1" s="1"/>
  <c r="O27" i="1" s="1"/>
  <c r="P27" i="1" s="1"/>
  <c r="Q27" i="1" s="1"/>
  <c r="R27" i="1" s="1"/>
  <c r="S27" i="1" s="1"/>
  <c r="T27" i="1" s="1"/>
  <c r="U27" i="1" s="1"/>
  <c r="V27" i="1" s="1"/>
  <c r="W27" i="1" s="1"/>
  <c r="X27" i="1" s="1"/>
  <c r="Y27" i="1" s="1"/>
  <c r="Z27" i="1" s="1"/>
  <c r="AA27" i="1" s="1"/>
  <c r="AB27" i="1" s="1"/>
  <c r="AC27" i="1" s="1"/>
  <c r="AD27" i="1" s="1"/>
  <c r="AE27" i="1" s="1"/>
  <c r="AF27" i="1" s="1"/>
  <c r="AG27" i="1" s="1"/>
  <c r="AH27" i="1" s="1"/>
  <c r="B15" i="4"/>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H15" i="1" l="1"/>
  <c r="H14" i="1"/>
  <c r="H13" i="1"/>
  <c r="AF50" i="1"/>
  <c r="E16" i="4"/>
  <c r="E18" i="4"/>
  <c r="E20" i="4"/>
  <c r="E22" i="4"/>
  <c r="E24" i="4"/>
  <c r="E26" i="4"/>
  <c r="E28" i="4"/>
  <c r="E30" i="4"/>
  <c r="E32" i="4"/>
  <c r="E34" i="4"/>
  <c r="E36" i="4"/>
  <c r="E38" i="4"/>
  <c r="E40" i="4"/>
  <c r="E42" i="4"/>
  <c r="E44" i="4"/>
  <c r="E46" i="4"/>
  <c r="E48" i="4"/>
  <c r="E50" i="4"/>
  <c r="E52" i="4"/>
  <c r="E54" i="4"/>
  <c r="E56" i="4"/>
  <c r="E58" i="4"/>
  <c r="E60" i="4"/>
  <c r="E62" i="4"/>
  <c r="E64" i="4"/>
  <c r="E66" i="4"/>
  <c r="E68" i="4"/>
  <c r="E70" i="4"/>
  <c r="E72" i="4"/>
  <c r="E74" i="4"/>
  <c r="E76" i="4"/>
  <c r="E78" i="4"/>
  <c r="E80" i="4"/>
  <c r="E82" i="4"/>
  <c r="E84" i="4"/>
  <c r="E86" i="4"/>
  <c r="E88" i="4"/>
  <c r="E90" i="4"/>
  <c r="E92" i="4"/>
  <c r="E94" i="4"/>
  <c r="E96" i="4"/>
  <c r="E98" i="4"/>
  <c r="F98" i="4" s="1"/>
  <c r="G98" i="4" s="1"/>
  <c r="E17" i="4"/>
  <c r="E19" i="4"/>
  <c r="E21" i="4"/>
  <c r="E23" i="4"/>
  <c r="E25" i="4"/>
  <c r="E27" i="4"/>
  <c r="E29" i="4"/>
  <c r="E31" i="4"/>
  <c r="E33" i="4"/>
  <c r="E35" i="4"/>
  <c r="E37" i="4"/>
  <c r="E39" i="4"/>
  <c r="E41" i="4"/>
  <c r="E43" i="4"/>
  <c r="E45" i="4"/>
  <c r="E47" i="4"/>
  <c r="E49" i="4"/>
  <c r="E51" i="4"/>
  <c r="E53" i="4"/>
  <c r="E55" i="4"/>
  <c r="E57" i="4"/>
  <c r="E59" i="4"/>
  <c r="E61" i="4"/>
  <c r="E63" i="4"/>
  <c r="E65" i="4"/>
  <c r="E67" i="4"/>
  <c r="E69" i="4"/>
  <c r="E71" i="4"/>
  <c r="E73" i="4"/>
  <c r="E75" i="4"/>
  <c r="E77" i="4"/>
  <c r="E79" i="4"/>
  <c r="E81" i="4"/>
  <c r="E83" i="4"/>
  <c r="E85" i="4"/>
  <c r="E87" i="4"/>
  <c r="E89" i="4"/>
  <c r="E91" i="4"/>
  <c r="E93" i="4"/>
  <c r="E95" i="4"/>
  <c r="E97" i="4"/>
  <c r="E15" i="4"/>
  <c r="D37" i="1"/>
  <c r="AC37" i="1" s="1"/>
  <c r="O36" i="1"/>
  <c r="W36" i="1" s="1"/>
  <c r="E37" i="1"/>
  <c r="AC36" i="1"/>
  <c r="E14" i="4"/>
  <c r="AF51" i="1" l="1"/>
  <c r="H16" i="1"/>
  <c r="H17" i="1" s="1"/>
  <c r="H22" i="1" s="1"/>
  <c r="H23" i="1" s="1"/>
  <c r="H24" i="1" s="1"/>
  <c r="D38" i="1"/>
  <c r="O37" i="1"/>
  <c r="W37" i="1" s="1"/>
  <c r="E38" i="1"/>
  <c r="F97" i="4"/>
  <c r="G97" i="4" s="1"/>
  <c r="I98" i="4"/>
  <c r="H18" i="1" l="1"/>
  <c r="F36" i="1"/>
  <c r="AF52" i="1"/>
  <c r="F37" i="1"/>
  <c r="F38" i="1"/>
  <c r="D39" i="1"/>
  <c r="O38" i="1"/>
  <c r="W38" i="1" s="1"/>
  <c r="AC38" i="1"/>
  <c r="E39" i="1"/>
  <c r="H97" i="4"/>
  <c r="F96" i="4"/>
  <c r="G96" i="4" s="1"/>
  <c r="I97" i="4"/>
  <c r="P38" i="1" l="1"/>
  <c r="H38" i="1"/>
  <c r="P37" i="1"/>
  <c r="F35" i="1"/>
  <c r="H37" i="1"/>
  <c r="P39" i="1"/>
  <c r="H39" i="1"/>
  <c r="X39" i="1"/>
  <c r="X37" i="1"/>
  <c r="X40" i="1"/>
  <c r="X38" i="1"/>
  <c r="X36" i="1"/>
  <c r="Y36" i="1" s="1"/>
  <c r="Z36" i="1" s="1"/>
  <c r="AF53" i="1"/>
  <c r="O39" i="1"/>
  <c r="W39" i="1" s="1"/>
  <c r="D40" i="1"/>
  <c r="AC39" i="1"/>
  <c r="F39" i="1"/>
  <c r="E40" i="1"/>
  <c r="H96" i="4"/>
  <c r="I96" i="4"/>
  <c r="F95" i="4"/>
  <c r="G95" i="4" s="1"/>
  <c r="P36" i="1" l="1"/>
  <c r="Q36" i="1" s="1"/>
  <c r="H36" i="1"/>
  <c r="P40" i="1"/>
  <c r="H40" i="1"/>
  <c r="X41" i="1"/>
  <c r="Y37" i="1"/>
  <c r="Z37" i="1" s="1"/>
  <c r="AF54" i="1"/>
  <c r="O40" i="1"/>
  <c r="W40" i="1" s="1"/>
  <c r="D41" i="1"/>
  <c r="F40" i="1"/>
  <c r="AC40" i="1"/>
  <c r="E41" i="1"/>
  <c r="I95" i="4"/>
  <c r="F94" i="4"/>
  <c r="G94" i="4" s="1"/>
  <c r="H95" i="4"/>
  <c r="I36" i="1" l="1"/>
  <c r="J36" i="1" s="1"/>
  <c r="M41" i="1"/>
  <c r="R36" i="1"/>
  <c r="R37" i="1" s="1"/>
  <c r="R38" i="1" s="1"/>
  <c r="R39" i="1" s="1"/>
  <c r="P41" i="1"/>
  <c r="H41" i="1"/>
  <c r="X42" i="1"/>
  <c r="Y38" i="1"/>
  <c r="Z38" i="1" s="1"/>
  <c r="AF55" i="1"/>
  <c r="F41" i="1"/>
  <c r="O41" i="1"/>
  <c r="W41" i="1" s="1"/>
  <c r="AC41" i="1"/>
  <c r="D42" i="1"/>
  <c r="R40" i="1"/>
  <c r="E42" i="1"/>
  <c r="I94" i="4"/>
  <c r="F93" i="4"/>
  <c r="G93" i="4" s="1"/>
  <c r="H94" i="4"/>
  <c r="I37" i="1" l="1"/>
  <c r="J37" i="1" s="1"/>
  <c r="Q37" i="1"/>
  <c r="S37" i="1" s="1"/>
  <c r="T37" i="1" s="1"/>
  <c r="S36" i="1"/>
  <c r="T36" i="1" s="1"/>
  <c r="P42" i="1"/>
  <c r="H42" i="1"/>
  <c r="X43" i="1"/>
  <c r="Y39" i="1"/>
  <c r="Z39" i="1" s="1"/>
  <c r="AF56" i="1"/>
  <c r="R41" i="1"/>
  <c r="F42" i="1"/>
  <c r="F31" i="1" s="1"/>
  <c r="O42" i="1"/>
  <c r="W42" i="1" s="1"/>
  <c r="M42" i="1"/>
  <c r="D43" i="1"/>
  <c r="AC42" i="1"/>
  <c r="E43" i="1"/>
  <c r="F92" i="4"/>
  <c r="G92" i="4" s="1"/>
  <c r="I93" i="4"/>
  <c r="H93" i="4"/>
  <c r="I38" i="1" l="1"/>
  <c r="J38" i="1" s="1"/>
  <c r="Q38" i="1"/>
  <c r="P43" i="1"/>
  <c r="H43" i="1"/>
  <c r="X44" i="1"/>
  <c r="Y40" i="1"/>
  <c r="Z40" i="1" s="1"/>
  <c r="AF57" i="1"/>
  <c r="H92" i="4"/>
  <c r="F43" i="1"/>
  <c r="O43" i="1"/>
  <c r="W43" i="1" s="1"/>
  <c r="M43" i="1"/>
  <c r="AC43" i="1"/>
  <c r="D44" i="1"/>
  <c r="E44" i="1"/>
  <c r="F91" i="4"/>
  <c r="G91" i="4" s="1"/>
  <c r="I92" i="4"/>
  <c r="I39" i="1" l="1"/>
  <c r="J39" i="1" s="1"/>
  <c r="Q39" i="1"/>
  <c r="S38" i="1"/>
  <c r="T38" i="1" s="1"/>
  <c r="P44" i="1"/>
  <c r="H44" i="1"/>
  <c r="X45" i="1"/>
  <c r="Y41" i="1"/>
  <c r="Z41" i="1" s="1"/>
  <c r="AF58" i="1"/>
  <c r="R42" i="1"/>
  <c r="R43" i="1" s="1"/>
  <c r="F44" i="1"/>
  <c r="O44" i="1"/>
  <c r="W44" i="1" s="1"/>
  <c r="M44" i="1"/>
  <c r="D45" i="1"/>
  <c r="AC44" i="1"/>
  <c r="E45" i="1"/>
  <c r="F90" i="4"/>
  <c r="G90" i="4" s="1"/>
  <c r="I91" i="4"/>
  <c r="H91" i="4"/>
  <c r="I40" i="1" l="1"/>
  <c r="J40" i="1"/>
  <c r="I41" i="1"/>
  <c r="Q40" i="1"/>
  <c r="S39" i="1"/>
  <c r="T39" i="1" s="1"/>
  <c r="P45" i="1"/>
  <c r="H45" i="1"/>
  <c r="X46" i="1"/>
  <c r="H90" i="4"/>
  <c r="Y42" i="1"/>
  <c r="Z42" i="1" s="1"/>
  <c r="AF59" i="1"/>
  <c r="F45" i="1"/>
  <c r="O45" i="1"/>
  <c r="W45" i="1" s="1"/>
  <c r="M45" i="1"/>
  <c r="D46" i="1"/>
  <c r="AC45" i="1"/>
  <c r="R44" i="1"/>
  <c r="E46" i="1"/>
  <c r="I90" i="4"/>
  <c r="F89" i="4"/>
  <c r="G89" i="4" s="1"/>
  <c r="J89" i="4" s="1"/>
  <c r="J41" i="1" l="1"/>
  <c r="I42" i="1"/>
  <c r="Q41" i="1"/>
  <c r="S40" i="1"/>
  <c r="T40" i="1" s="1"/>
  <c r="P46" i="1"/>
  <c r="H46" i="1"/>
  <c r="X47" i="1"/>
  <c r="Y43" i="1"/>
  <c r="Z43" i="1" s="1"/>
  <c r="AF60" i="1"/>
  <c r="R45" i="1"/>
  <c r="F46" i="1"/>
  <c r="O46" i="1"/>
  <c r="W46" i="1" s="1"/>
  <c r="M46" i="1"/>
  <c r="D47" i="1"/>
  <c r="AC46" i="1"/>
  <c r="E47" i="1"/>
  <c r="H89" i="4"/>
  <c r="F88" i="4"/>
  <c r="G88" i="4" s="1"/>
  <c r="J88" i="4" s="1"/>
  <c r="I89" i="4"/>
  <c r="J42" i="1" l="1"/>
  <c r="I43" i="1"/>
  <c r="Q42" i="1"/>
  <c r="S41" i="1"/>
  <c r="T41" i="1" s="1"/>
  <c r="P47" i="1"/>
  <c r="H47" i="1"/>
  <c r="X48" i="1"/>
  <c r="R46" i="1"/>
  <c r="Y44" i="1"/>
  <c r="Z44" i="1" s="1"/>
  <c r="AF61" i="1"/>
  <c r="F47" i="1"/>
  <c r="O47" i="1"/>
  <c r="W47" i="1" s="1"/>
  <c r="M47" i="1"/>
  <c r="D48" i="1"/>
  <c r="AC47" i="1"/>
  <c r="E48" i="1"/>
  <c r="H88" i="4"/>
  <c r="F87" i="4"/>
  <c r="G87" i="4" s="1"/>
  <c r="J87" i="4" s="1"/>
  <c r="I88" i="4"/>
  <c r="J43" i="1" l="1"/>
  <c r="I44" i="1"/>
  <c r="Q43" i="1"/>
  <c r="S42" i="1"/>
  <c r="T42" i="1" s="1"/>
  <c r="P48" i="1"/>
  <c r="H48" i="1"/>
  <c r="X49" i="1"/>
  <c r="R47" i="1"/>
  <c r="Y45" i="1"/>
  <c r="Z45" i="1" s="1"/>
  <c r="AF62" i="1"/>
  <c r="F48" i="1"/>
  <c r="H49" i="1" s="1"/>
  <c r="O48" i="1"/>
  <c r="W48" i="1" s="1"/>
  <c r="M48" i="1"/>
  <c r="D49" i="1"/>
  <c r="AC48" i="1"/>
  <c r="E49" i="1"/>
  <c r="F86" i="4"/>
  <c r="G86" i="4" s="1"/>
  <c r="J86" i="4" s="1"/>
  <c r="I87" i="4"/>
  <c r="H87" i="4"/>
  <c r="J44" i="1" l="1"/>
  <c r="I45" i="1"/>
  <c r="Q44" i="1"/>
  <c r="S43" i="1"/>
  <c r="T43" i="1" s="1"/>
  <c r="X50" i="1"/>
  <c r="R48" i="1"/>
  <c r="P49" i="1"/>
  <c r="Y46" i="1"/>
  <c r="Z46" i="1" s="1"/>
  <c r="AF63" i="1"/>
  <c r="F49" i="1"/>
  <c r="H50" i="1" s="1"/>
  <c r="O49" i="1"/>
  <c r="W49" i="1" s="1"/>
  <c r="M49" i="1"/>
  <c r="AC49" i="1"/>
  <c r="D50" i="1"/>
  <c r="H86" i="4"/>
  <c r="E50" i="1"/>
  <c r="F85" i="4"/>
  <c r="G85" i="4" s="1"/>
  <c r="J85" i="4" s="1"/>
  <c r="I86" i="4"/>
  <c r="J45" i="1" l="1"/>
  <c r="I46" i="1"/>
  <c r="Q45" i="1"/>
  <c r="S44" i="1"/>
  <c r="T44" i="1" s="1"/>
  <c r="R49" i="1"/>
  <c r="P50" i="1"/>
  <c r="X51" i="1"/>
  <c r="Y47" i="1"/>
  <c r="Z47" i="1" s="1"/>
  <c r="F50" i="1"/>
  <c r="H51" i="1" s="1"/>
  <c r="O50" i="1"/>
  <c r="W50" i="1" s="1"/>
  <c r="M50" i="1"/>
  <c r="AC50" i="1"/>
  <c r="D51" i="1"/>
  <c r="E51" i="1"/>
  <c r="F84" i="4"/>
  <c r="G84" i="4" s="1"/>
  <c r="J84" i="4" s="1"/>
  <c r="I85" i="4"/>
  <c r="H85" i="4"/>
  <c r="J46" i="1" l="1"/>
  <c r="I47" i="1"/>
  <c r="Q46" i="1"/>
  <c r="S45" i="1"/>
  <c r="T45" i="1" s="1"/>
  <c r="X52" i="1"/>
  <c r="R50" i="1"/>
  <c r="P51" i="1"/>
  <c r="Y48" i="1"/>
  <c r="Z48" i="1" s="1"/>
  <c r="H84" i="4"/>
  <c r="F51" i="1"/>
  <c r="H52" i="1" s="1"/>
  <c r="O51" i="1"/>
  <c r="W51" i="1" s="1"/>
  <c r="M51" i="1"/>
  <c r="D52" i="1"/>
  <c r="AC51" i="1"/>
  <c r="E52" i="1"/>
  <c r="I84" i="4"/>
  <c r="F83" i="4"/>
  <c r="G83" i="4" s="1"/>
  <c r="J83" i="4" s="1"/>
  <c r="J47" i="1" l="1"/>
  <c r="I48" i="1"/>
  <c r="Q47" i="1"/>
  <c r="S46" i="1"/>
  <c r="T46" i="1" s="1"/>
  <c r="X53" i="1"/>
  <c r="R51" i="1"/>
  <c r="P52" i="1"/>
  <c r="Y49" i="1"/>
  <c r="Z49" i="1" s="1"/>
  <c r="F52" i="1"/>
  <c r="H53" i="1" s="1"/>
  <c r="M52" i="1"/>
  <c r="O52" i="1"/>
  <c r="W52" i="1" s="1"/>
  <c r="D53" i="1"/>
  <c r="AC52" i="1"/>
  <c r="E53" i="1"/>
  <c r="I83" i="4"/>
  <c r="F82" i="4"/>
  <c r="G82" i="4" s="1"/>
  <c r="J82" i="4" s="1"/>
  <c r="H83" i="4"/>
  <c r="I49" i="1" l="1"/>
  <c r="J48" i="1"/>
  <c r="Q48" i="1"/>
  <c r="S47" i="1"/>
  <c r="T47" i="1" s="1"/>
  <c r="X54" i="1"/>
  <c r="R52" i="1"/>
  <c r="P53" i="1"/>
  <c r="Y50" i="1"/>
  <c r="Z50" i="1" s="1"/>
  <c r="F53" i="1"/>
  <c r="H54" i="1" s="1"/>
  <c r="O53" i="1"/>
  <c r="W53" i="1" s="1"/>
  <c r="M53" i="1"/>
  <c r="D54" i="1"/>
  <c r="AC53" i="1"/>
  <c r="E54" i="1"/>
  <c r="H82" i="4"/>
  <c r="F81" i="4"/>
  <c r="G81" i="4" s="1"/>
  <c r="J81" i="4" s="1"/>
  <c r="I82" i="4"/>
  <c r="Q49" i="1" l="1"/>
  <c r="S48" i="1"/>
  <c r="T48" i="1" s="1"/>
  <c r="I50" i="1"/>
  <c r="J49" i="1"/>
  <c r="X55" i="1"/>
  <c r="R53" i="1"/>
  <c r="P54" i="1"/>
  <c r="Y51" i="1"/>
  <c r="Z51" i="1" s="1"/>
  <c r="F54" i="1"/>
  <c r="H55" i="1" s="1"/>
  <c r="O54" i="1"/>
  <c r="W54" i="1" s="1"/>
  <c r="M54" i="1"/>
  <c r="D55" i="1"/>
  <c r="AC54" i="1"/>
  <c r="E55" i="1"/>
  <c r="I81" i="4"/>
  <c r="F80" i="4"/>
  <c r="G80" i="4" s="1"/>
  <c r="J80" i="4" s="1"/>
  <c r="H81" i="4"/>
  <c r="J50" i="1" l="1"/>
  <c r="I51" i="1"/>
  <c r="Q50" i="1"/>
  <c r="S49" i="1"/>
  <c r="T49" i="1" s="1"/>
  <c r="R54" i="1"/>
  <c r="P55" i="1"/>
  <c r="X56" i="1"/>
  <c r="Y52" i="1"/>
  <c r="Z52" i="1" s="1"/>
  <c r="F55" i="1"/>
  <c r="H56" i="1" s="1"/>
  <c r="O55" i="1"/>
  <c r="W55" i="1" s="1"/>
  <c r="M55" i="1"/>
  <c r="AC55" i="1"/>
  <c r="D56" i="1"/>
  <c r="E56" i="1"/>
  <c r="F79" i="4"/>
  <c r="G79" i="4" s="1"/>
  <c r="J79" i="4" s="1"/>
  <c r="I80" i="4"/>
  <c r="H80" i="4"/>
  <c r="I52" i="1" l="1"/>
  <c r="J51" i="1"/>
  <c r="Q51" i="1"/>
  <c r="S50" i="1"/>
  <c r="T50" i="1" s="1"/>
  <c r="R55" i="1"/>
  <c r="P56" i="1"/>
  <c r="X57" i="1"/>
  <c r="Y53" i="1"/>
  <c r="Z53" i="1" s="1"/>
  <c r="F56" i="1"/>
  <c r="H57" i="1" s="1"/>
  <c r="O56" i="1"/>
  <c r="W56" i="1" s="1"/>
  <c r="M56" i="1"/>
  <c r="AC56" i="1"/>
  <c r="D57" i="1"/>
  <c r="H79" i="4"/>
  <c r="E57" i="1"/>
  <c r="F78" i="4"/>
  <c r="G78" i="4" s="1"/>
  <c r="J78" i="4" s="1"/>
  <c r="I79" i="4"/>
  <c r="Q52" i="1" l="1"/>
  <c r="S51" i="1"/>
  <c r="T51" i="1" s="1"/>
  <c r="I53" i="1"/>
  <c r="J52" i="1"/>
  <c r="X58" i="1"/>
  <c r="R56" i="1"/>
  <c r="P57" i="1"/>
  <c r="Y54" i="1"/>
  <c r="Z54" i="1" s="1"/>
  <c r="F57" i="1"/>
  <c r="H58" i="1" s="1"/>
  <c r="O57" i="1"/>
  <c r="W57" i="1" s="1"/>
  <c r="M57" i="1"/>
  <c r="AC57" i="1"/>
  <c r="D58" i="1"/>
  <c r="E58" i="1"/>
  <c r="F77" i="4"/>
  <c r="G77" i="4" s="1"/>
  <c r="J77" i="4" s="1"/>
  <c r="I78" i="4"/>
  <c r="H78" i="4"/>
  <c r="J53" i="1" l="1"/>
  <c r="I54" i="1"/>
  <c r="Q53" i="1"/>
  <c r="S52" i="1"/>
  <c r="T52" i="1" s="1"/>
  <c r="X59" i="1"/>
  <c r="R57" i="1"/>
  <c r="P58" i="1"/>
  <c r="Y55" i="1"/>
  <c r="Z55" i="1" s="1"/>
  <c r="H77" i="4"/>
  <c r="F58" i="1"/>
  <c r="H59" i="1" s="1"/>
  <c r="O58" i="1"/>
  <c r="W58" i="1" s="1"/>
  <c r="M58" i="1"/>
  <c r="D59" i="1"/>
  <c r="AC58" i="1"/>
  <c r="E59" i="1"/>
  <c r="I77" i="4"/>
  <c r="F76" i="4"/>
  <c r="G76" i="4" s="1"/>
  <c r="J76" i="4" s="1"/>
  <c r="AJ63" i="1" s="1"/>
  <c r="I55" i="1" l="1"/>
  <c r="J54" i="1"/>
  <c r="Q54" i="1"/>
  <c r="S53" i="1"/>
  <c r="T53" i="1" s="1"/>
  <c r="X60" i="1"/>
  <c r="R58" i="1"/>
  <c r="P59" i="1"/>
  <c r="Y56" i="1"/>
  <c r="Z56" i="1" s="1"/>
  <c r="F59" i="1"/>
  <c r="H60" i="1" s="1"/>
  <c r="O59" i="1"/>
  <c r="W59" i="1" s="1"/>
  <c r="M59" i="1"/>
  <c r="AC59" i="1"/>
  <c r="D60" i="1"/>
  <c r="E60" i="1"/>
  <c r="F75" i="4"/>
  <c r="G75" i="4" s="1"/>
  <c r="J75" i="4" s="1"/>
  <c r="AJ62" i="1" s="1"/>
  <c r="I76" i="4"/>
  <c r="H76" i="4"/>
  <c r="Q55" i="1" l="1"/>
  <c r="S54" i="1"/>
  <c r="T54" i="1" s="1"/>
  <c r="J55" i="1"/>
  <c r="I56" i="1"/>
  <c r="R59" i="1"/>
  <c r="P60" i="1"/>
  <c r="X61" i="1"/>
  <c r="Y57" i="1"/>
  <c r="Z57" i="1" s="1"/>
  <c r="H75" i="4"/>
  <c r="F60" i="1"/>
  <c r="H61" i="1" s="1"/>
  <c r="O60" i="1"/>
  <c r="W60" i="1" s="1"/>
  <c r="M60" i="1"/>
  <c r="D61" i="1"/>
  <c r="AC60" i="1"/>
  <c r="E61" i="1"/>
  <c r="F74" i="4"/>
  <c r="G74" i="4" s="1"/>
  <c r="J74" i="4" s="1"/>
  <c r="AJ61" i="1" s="1"/>
  <c r="I75" i="4"/>
  <c r="I57" i="1" l="1"/>
  <c r="J56" i="1"/>
  <c r="Q56" i="1"/>
  <c r="S55" i="1"/>
  <c r="T55" i="1" s="1"/>
  <c r="X62" i="1"/>
  <c r="R60" i="1"/>
  <c r="P61" i="1"/>
  <c r="Y58" i="1"/>
  <c r="Z58" i="1" s="1"/>
  <c r="F61" i="1"/>
  <c r="H62" i="1" s="1"/>
  <c r="O61" i="1"/>
  <c r="W61" i="1" s="1"/>
  <c r="M61" i="1"/>
  <c r="D62" i="1"/>
  <c r="AC61" i="1"/>
  <c r="E62" i="1"/>
  <c r="I74" i="4"/>
  <c r="F73" i="4"/>
  <c r="G73" i="4" s="1"/>
  <c r="J73" i="4" s="1"/>
  <c r="AJ60" i="1" s="1"/>
  <c r="H74" i="4"/>
  <c r="Q57" i="1" l="1"/>
  <c r="S56" i="1"/>
  <c r="T56" i="1" s="1"/>
  <c r="I58" i="1"/>
  <c r="J57" i="1"/>
  <c r="X63" i="1"/>
  <c r="R61" i="1"/>
  <c r="P62" i="1"/>
  <c r="Y59" i="1"/>
  <c r="Z59" i="1" s="1"/>
  <c r="F62" i="1"/>
  <c r="H63" i="1" s="1"/>
  <c r="O62" i="1"/>
  <c r="W62" i="1" s="1"/>
  <c r="M62" i="1"/>
  <c r="D63" i="1"/>
  <c r="AC62" i="1"/>
  <c r="E63" i="1"/>
  <c r="H73" i="4"/>
  <c r="I73" i="4"/>
  <c r="F72" i="4"/>
  <c r="G72" i="4" s="1"/>
  <c r="J72" i="4" s="1"/>
  <c r="AJ59" i="1" s="1"/>
  <c r="J58" i="1" l="1"/>
  <c r="I59" i="1"/>
  <c r="Q58" i="1"/>
  <c r="S57" i="1"/>
  <c r="T57" i="1" s="1"/>
  <c r="X64" i="1"/>
  <c r="R62" i="1"/>
  <c r="P63" i="1"/>
  <c r="Y60" i="1"/>
  <c r="Z60" i="1" s="1"/>
  <c r="F63" i="1"/>
  <c r="H64" i="1" s="1"/>
  <c r="O63" i="1"/>
  <c r="W63" i="1" s="1"/>
  <c r="M63" i="1"/>
  <c r="D64" i="1"/>
  <c r="AC63" i="1"/>
  <c r="H72" i="4"/>
  <c r="E64" i="1"/>
  <c r="F71" i="4"/>
  <c r="G71" i="4" s="1"/>
  <c r="J71" i="4" s="1"/>
  <c r="AJ58" i="1" s="1"/>
  <c r="I72" i="4"/>
  <c r="I60" i="1" l="1"/>
  <c r="J59" i="1"/>
  <c r="Q59" i="1"/>
  <c r="S58" i="1"/>
  <c r="T58" i="1" s="1"/>
  <c r="R63" i="1"/>
  <c r="P64" i="1"/>
  <c r="X65" i="1"/>
  <c r="Y61" i="1"/>
  <c r="Z61" i="1" s="1"/>
  <c r="F64" i="1"/>
  <c r="H65" i="1" s="1"/>
  <c r="O64" i="1"/>
  <c r="W64" i="1" s="1"/>
  <c r="M64" i="1"/>
  <c r="AC64" i="1"/>
  <c r="D65" i="1"/>
  <c r="H71" i="4"/>
  <c r="E65" i="1"/>
  <c r="F70" i="4"/>
  <c r="G70" i="4" s="1"/>
  <c r="J70" i="4" s="1"/>
  <c r="AJ57" i="1" s="1"/>
  <c r="I71" i="4"/>
  <c r="Q60" i="1" l="1"/>
  <c r="S59" i="1"/>
  <c r="T59" i="1" s="1"/>
  <c r="I61" i="1"/>
  <c r="J60" i="1"/>
  <c r="X66" i="1"/>
  <c r="R64" i="1"/>
  <c r="P65" i="1"/>
  <c r="Y62" i="1"/>
  <c r="Z62" i="1" s="1"/>
  <c r="F65" i="1"/>
  <c r="H66" i="1" s="1"/>
  <c r="O65" i="1"/>
  <c r="W65" i="1" s="1"/>
  <c r="M65" i="1"/>
  <c r="D66" i="1"/>
  <c r="AC65" i="1"/>
  <c r="H70" i="4"/>
  <c r="E66" i="1"/>
  <c r="I70" i="4"/>
  <c r="F69" i="4"/>
  <c r="G69" i="4" s="1"/>
  <c r="J69" i="4" s="1"/>
  <c r="AJ56" i="1" s="1"/>
  <c r="I62" i="1" l="1"/>
  <c r="J61" i="1"/>
  <c r="Q61" i="1"/>
  <c r="S60" i="1"/>
  <c r="T60" i="1" s="1"/>
  <c r="R65" i="1"/>
  <c r="P66" i="1"/>
  <c r="X67" i="1"/>
  <c r="Y63" i="1"/>
  <c r="Z63" i="1" s="1"/>
  <c r="F66" i="1"/>
  <c r="H67" i="1" s="1"/>
  <c r="O66" i="1"/>
  <c r="W66" i="1" s="1"/>
  <c r="M66" i="1"/>
  <c r="D67" i="1"/>
  <c r="AC66" i="1"/>
  <c r="E67" i="1"/>
  <c r="I69" i="4"/>
  <c r="F68" i="4"/>
  <c r="G68" i="4" s="1"/>
  <c r="J68" i="4" s="1"/>
  <c r="AJ55" i="1" s="1"/>
  <c r="H69" i="4"/>
  <c r="Q62" i="1" l="1"/>
  <c r="S61" i="1"/>
  <c r="T61" i="1" s="1"/>
  <c r="I63" i="1"/>
  <c r="J62" i="1"/>
  <c r="X68" i="1"/>
  <c r="R66" i="1"/>
  <c r="P67" i="1"/>
  <c r="Y64" i="1"/>
  <c r="Z64" i="1" s="1"/>
  <c r="F67" i="1"/>
  <c r="H68" i="1" s="1"/>
  <c r="O67" i="1"/>
  <c r="W67" i="1" s="1"/>
  <c r="M67" i="1"/>
  <c r="AC67" i="1"/>
  <c r="D68" i="1"/>
  <c r="E68" i="1"/>
  <c r="H68" i="4"/>
  <c r="I68" i="4"/>
  <c r="F67" i="4"/>
  <c r="G67" i="4" s="1"/>
  <c r="J67" i="4" s="1"/>
  <c r="AJ54" i="1" s="1"/>
  <c r="I64" i="1" l="1"/>
  <c r="J63" i="1"/>
  <c r="Q63" i="1"/>
  <c r="S62" i="1"/>
  <c r="T62" i="1" s="1"/>
  <c r="X69" i="1"/>
  <c r="R67" i="1"/>
  <c r="P68" i="1"/>
  <c r="Y65" i="1"/>
  <c r="Z65" i="1" s="1"/>
  <c r="F68" i="1"/>
  <c r="H69" i="1" s="1"/>
  <c r="O68" i="1"/>
  <c r="W68" i="1" s="1"/>
  <c r="M68" i="1"/>
  <c r="AC68" i="1"/>
  <c r="D69" i="1"/>
  <c r="E69" i="1"/>
  <c r="F66" i="4"/>
  <c r="G66" i="4" s="1"/>
  <c r="J66" i="4" s="1"/>
  <c r="AJ53" i="1" s="1"/>
  <c r="I67" i="4"/>
  <c r="H67" i="4"/>
  <c r="Q64" i="1" l="1"/>
  <c r="S63" i="1"/>
  <c r="T63" i="1" s="1"/>
  <c r="J64" i="1"/>
  <c r="I65" i="1"/>
  <c r="H66" i="4"/>
  <c r="X70" i="1"/>
  <c r="R68" i="1"/>
  <c r="P69" i="1"/>
  <c r="Y66" i="1"/>
  <c r="Z66" i="1" s="1"/>
  <c r="F69" i="1"/>
  <c r="H70" i="1" s="1"/>
  <c r="O69" i="1"/>
  <c r="W69" i="1" s="1"/>
  <c r="M69" i="1"/>
  <c r="D70" i="1"/>
  <c r="AC69" i="1"/>
  <c r="E70" i="1"/>
  <c r="I66" i="4"/>
  <c r="F65" i="4"/>
  <c r="G65" i="4" s="1"/>
  <c r="J65" i="4" s="1"/>
  <c r="AJ52" i="1" s="1"/>
  <c r="I66" i="1" l="1"/>
  <c r="J65" i="1"/>
  <c r="Q65" i="1"/>
  <c r="S64" i="1"/>
  <c r="T64" i="1" s="1"/>
  <c r="X71" i="1"/>
  <c r="R69" i="1"/>
  <c r="P70" i="1"/>
  <c r="Y67" i="1"/>
  <c r="Z67" i="1" s="1"/>
  <c r="F70" i="1"/>
  <c r="H71" i="1" s="1"/>
  <c r="O70" i="1"/>
  <c r="W70" i="1" s="1"/>
  <c r="M70" i="1"/>
  <c r="AC70" i="1"/>
  <c r="D71" i="1"/>
  <c r="E71" i="1"/>
  <c r="I65" i="4"/>
  <c r="F64" i="4"/>
  <c r="G64" i="4" s="1"/>
  <c r="J64" i="4" s="1"/>
  <c r="AJ51" i="1" s="1"/>
  <c r="H65" i="4"/>
  <c r="Q66" i="1" l="1"/>
  <c r="S65" i="1"/>
  <c r="T65" i="1" s="1"/>
  <c r="J66" i="1"/>
  <c r="I67" i="1"/>
  <c r="X72" i="1"/>
  <c r="R70" i="1"/>
  <c r="P71" i="1"/>
  <c r="Y68" i="1"/>
  <c r="Z68" i="1" s="1"/>
  <c r="F71" i="1"/>
  <c r="H72" i="1" s="1"/>
  <c r="O71" i="1"/>
  <c r="W71" i="1" s="1"/>
  <c r="M71" i="1"/>
  <c r="D72" i="1"/>
  <c r="AC71" i="1"/>
  <c r="E72" i="1"/>
  <c r="H64" i="4"/>
  <c r="F63" i="4"/>
  <c r="G63" i="4" s="1"/>
  <c r="J63" i="4" s="1"/>
  <c r="AJ50" i="1" s="1"/>
  <c r="I64" i="4"/>
  <c r="J67" i="1" l="1"/>
  <c r="I68" i="1"/>
  <c r="S66" i="1"/>
  <c r="T66" i="1" s="1"/>
  <c r="Q67" i="1"/>
  <c r="X73" i="1"/>
  <c r="R71" i="1"/>
  <c r="P72" i="1"/>
  <c r="Y69" i="1"/>
  <c r="Z69" i="1" s="1"/>
  <c r="F72" i="1"/>
  <c r="H73" i="1" s="1"/>
  <c r="O72" i="1"/>
  <c r="W72" i="1" s="1"/>
  <c r="M72" i="1"/>
  <c r="AC72" i="1"/>
  <c r="D73" i="1"/>
  <c r="E73" i="1"/>
  <c r="F62" i="4"/>
  <c r="G62" i="4" s="1"/>
  <c r="J62" i="4" s="1"/>
  <c r="AJ49" i="1" s="1"/>
  <c r="I63" i="4"/>
  <c r="H63" i="4"/>
  <c r="Q68" i="1" l="1"/>
  <c r="S67" i="1"/>
  <c r="T67" i="1" s="1"/>
  <c r="I69" i="1"/>
  <c r="J68" i="1"/>
  <c r="X74" i="1"/>
  <c r="R72" i="1"/>
  <c r="P73" i="1"/>
  <c r="Y70" i="1"/>
  <c r="Z70" i="1" s="1"/>
  <c r="F73" i="1"/>
  <c r="H74" i="1" s="1"/>
  <c r="O73" i="1"/>
  <c r="W73" i="1" s="1"/>
  <c r="M73" i="1"/>
  <c r="D74" i="1"/>
  <c r="AC73" i="1"/>
  <c r="H62" i="4"/>
  <c r="E74" i="1"/>
  <c r="F61" i="4"/>
  <c r="G61" i="4" s="1"/>
  <c r="J61" i="4" s="1"/>
  <c r="AJ48" i="1" s="1"/>
  <c r="I62" i="4"/>
  <c r="J69" i="1" l="1"/>
  <c r="I70" i="1"/>
  <c r="Q69" i="1"/>
  <c r="S68" i="1"/>
  <c r="T68" i="1" s="1"/>
  <c r="X75" i="1"/>
  <c r="R73" i="1"/>
  <c r="P74" i="1"/>
  <c r="Y71" i="1"/>
  <c r="Z71" i="1" s="1"/>
  <c r="F74" i="1"/>
  <c r="H75" i="1" s="1"/>
  <c r="O74" i="1"/>
  <c r="W74" i="1" s="1"/>
  <c r="M74" i="1"/>
  <c r="AC74" i="1"/>
  <c r="D75" i="1"/>
  <c r="E75" i="1"/>
  <c r="F60" i="4"/>
  <c r="G60" i="4" s="1"/>
  <c r="J60" i="4" s="1"/>
  <c r="AJ47" i="1" s="1"/>
  <c r="I61" i="4"/>
  <c r="H61" i="4"/>
  <c r="I71" i="1" l="1"/>
  <c r="J70" i="1"/>
  <c r="Q70" i="1"/>
  <c r="S69" i="1"/>
  <c r="T69" i="1" s="1"/>
  <c r="X76" i="1"/>
  <c r="R74" i="1"/>
  <c r="P75" i="1"/>
  <c r="Y72" i="1"/>
  <c r="Z72" i="1" s="1"/>
  <c r="F75" i="1"/>
  <c r="H76" i="1" s="1"/>
  <c r="O75" i="1"/>
  <c r="W75" i="1" s="1"/>
  <c r="M75" i="1"/>
  <c r="D76" i="1"/>
  <c r="AC75" i="1"/>
  <c r="H60" i="4"/>
  <c r="E76" i="1"/>
  <c r="F59" i="4"/>
  <c r="G59" i="4" s="1"/>
  <c r="I60" i="4"/>
  <c r="Q71" i="1" l="1"/>
  <c r="S70" i="1"/>
  <c r="T70" i="1" s="1"/>
  <c r="J71" i="1"/>
  <c r="I72" i="1"/>
  <c r="R75" i="1"/>
  <c r="P76" i="1"/>
  <c r="X77" i="1"/>
  <c r="Y73" i="1"/>
  <c r="Z73" i="1" s="1"/>
  <c r="I58" i="4"/>
  <c r="I50" i="4"/>
  <c r="I46" i="4"/>
  <c r="I42" i="4"/>
  <c r="I38" i="4"/>
  <c r="I34" i="4"/>
  <c r="I28" i="4"/>
  <c r="I26" i="4"/>
  <c r="I20" i="4"/>
  <c r="I16" i="4"/>
  <c r="J59" i="4"/>
  <c r="AJ46" i="1" s="1"/>
  <c r="I59" i="4"/>
  <c r="I57" i="4"/>
  <c r="I55" i="4"/>
  <c r="I53" i="4"/>
  <c r="I51" i="4"/>
  <c r="I49" i="4"/>
  <c r="I47" i="4"/>
  <c r="I45" i="4"/>
  <c r="I43" i="4"/>
  <c r="I41" i="4"/>
  <c r="I39" i="4"/>
  <c r="I37" i="4"/>
  <c r="I35" i="4"/>
  <c r="I33" i="4"/>
  <c r="I31" i="4"/>
  <c r="I29" i="4"/>
  <c r="I27" i="4"/>
  <c r="I25" i="4"/>
  <c r="I23" i="4"/>
  <c r="I21" i="4"/>
  <c r="I19" i="4"/>
  <c r="I17" i="4"/>
  <c r="I15" i="4"/>
  <c r="I56" i="4"/>
  <c r="I54" i="4"/>
  <c r="I52" i="4"/>
  <c r="N75" i="1" s="1"/>
  <c r="I48" i="4"/>
  <c r="I44" i="4"/>
  <c r="I40" i="4"/>
  <c r="I36" i="4"/>
  <c r="I32" i="4"/>
  <c r="I30" i="4"/>
  <c r="I24" i="4"/>
  <c r="I22" i="4"/>
  <c r="I18" i="4"/>
  <c r="I14" i="4"/>
  <c r="F76" i="1"/>
  <c r="H77" i="1" s="1"/>
  <c r="O76" i="1"/>
  <c r="W76" i="1" s="1"/>
  <c r="M76" i="1"/>
  <c r="AC76" i="1"/>
  <c r="D77" i="1"/>
  <c r="H59" i="4"/>
  <c r="E77" i="1"/>
  <c r="F58" i="4"/>
  <c r="G58" i="4" s="1"/>
  <c r="J58" i="4" s="1"/>
  <c r="AJ45" i="1" s="1"/>
  <c r="U37" i="1" l="1"/>
  <c r="J72" i="1"/>
  <c r="I73" i="1"/>
  <c r="Q72" i="1"/>
  <c r="S71" i="1"/>
  <c r="T71" i="1" s="1"/>
  <c r="N74" i="1"/>
  <c r="N73" i="1"/>
  <c r="N76" i="1"/>
  <c r="AA73" i="1"/>
  <c r="U70" i="1"/>
  <c r="K70" i="1"/>
  <c r="N70" i="1"/>
  <c r="K72" i="1"/>
  <c r="N72" i="1"/>
  <c r="U71" i="1"/>
  <c r="N71" i="1"/>
  <c r="K71" i="1"/>
  <c r="AA71" i="1"/>
  <c r="AA70" i="1"/>
  <c r="AA36" i="1"/>
  <c r="AA72" i="1"/>
  <c r="R76" i="1"/>
  <c r="P77" i="1"/>
  <c r="U40" i="1"/>
  <c r="AA40" i="1"/>
  <c r="U46" i="1"/>
  <c r="AA46" i="1"/>
  <c r="U54" i="1"/>
  <c r="AA54" i="1"/>
  <c r="U62" i="1"/>
  <c r="AA62" i="1"/>
  <c r="U66" i="1"/>
  <c r="AA66" i="1"/>
  <c r="U39" i="1"/>
  <c r="AA39" i="1"/>
  <c r="U43" i="1"/>
  <c r="AA43" i="1"/>
  <c r="U47" i="1"/>
  <c r="AA47" i="1"/>
  <c r="U51" i="1"/>
  <c r="AA51" i="1"/>
  <c r="U55" i="1"/>
  <c r="AA55" i="1"/>
  <c r="AA59" i="1"/>
  <c r="U59" i="1"/>
  <c r="U63" i="1"/>
  <c r="AA63" i="1"/>
  <c r="AA67" i="1"/>
  <c r="U67" i="1"/>
  <c r="U38" i="1"/>
  <c r="AA38" i="1"/>
  <c r="U48" i="1"/>
  <c r="AA48" i="1"/>
  <c r="AA56" i="1"/>
  <c r="U56" i="1"/>
  <c r="AA68" i="1"/>
  <c r="U68" i="1"/>
  <c r="X78" i="1"/>
  <c r="AA42" i="1"/>
  <c r="U42" i="1"/>
  <c r="U50" i="1"/>
  <c r="AA50" i="1"/>
  <c r="U58" i="1"/>
  <c r="AA58" i="1"/>
  <c r="U64" i="1"/>
  <c r="AA64" i="1"/>
  <c r="AA37" i="1"/>
  <c r="AA41" i="1"/>
  <c r="U41" i="1"/>
  <c r="U45" i="1"/>
  <c r="AA45" i="1"/>
  <c r="U49" i="1"/>
  <c r="AA49" i="1"/>
  <c r="AA53" i="1"/>
  <c r="U53" i="1"/>
  <c r="U57" i="1"/>
  <c r="AA57" i="1"/>
  <c r="AA61" i="1"/>
  <c r="U61" i="1"/>
  <c r="U65" i="1"/>
  <c r="AA65" i="1"/>
  <c r="AA69" i="1"/>
  <c r="U69" i="1"/>
  <c r="U44" i="1"/>
  <c r="AA44" i="1"/>
  <c r="AA52" i="1"/>
  <c r="U52" i="1"/>
  <c r="AA60" i="1"/>
  <c r="U60" i="1"/>
  <c r="Y74" i="1"/>
  <c r="Z74" i="1" s="1"/>
  <c r="AA74" i="1" s="1"/>
  <c r="N40" i="1"/>
  <c r="K40" i="1"/>
  <c r="N46" i="1"/>
  <c r="K46" i="1"/>
  <c r="N54" i="1"/>
  <c r="K54" i="1"/>
  <c r="N62" i="1"/>
  <c r="K62" i="1"/>
  <c r="N66" i="1"/>
  <c r="K66" i="1"/>
  <c r="N39" i="1"/>
  <c r="K39" i="1"/>
  <c r="N43" i="1"/>
  <c r="K43" i="1"/>
  <c r="N47" i="1"/>
  <c r="K47" i="1"/>
  <c r="N51" i="1"/>
  <c r="K51" i="1"/>
  <c r="N55" i="1"/>
  <c r="K55" i="1"/>
  <c r="N59" i="1"/>
  <c r="K59" i="1"/>
  <c r="N63" i="1"/>
  <c r="K63" i="1"/>
  <c r="N67" i="1"/>
  <c r="K67" i="1"/>
  <c r="N38" i="1"/>
  <c r="K38" i="1"/>
  <c r="N48" i="1"/>
  <c r="K48" i="1"/>
  <c r="N56" i="1"/>
  <c r="K56" i="1"/>
  <c r="N68" i="1"/>
  <c r="K68" i="1"/>
  <c r="N42" i="1"/>
  <c r="K42" i="1"/>
  <c r="N50" i="1"/>
  <c r="K50" i="1"/>
  <c r="N58" i="1"/>
  <c r="K58" i="1"/>
  <c r="N64" i="1"/>
  <c r="K64" i="1"/>
  <c r="N37" i="1"/>
  <c r="K37" i="1"/>
  <c r="N41" i="1"/>
  <c r="K41" i="1"/>
  <c r="N45" i="1"/>
  <c r="K45" i="1"/>
  <c r="N49" i="1"/>
  <c r="K49" i="1"/>
  <c r="N53" i="1"/>
  <c r="K53" i="1"/>
  <c r="N57" i="1"/>
  <c r="K57" i="1"/>
  <c r="N61" i="1"/>
  <c r="K61" i="1"/>
  <c r="N65" i="1"/>
  <c r="K65" i="1"/>
  <c r="N69" i="1"/>
  <c r="K69" i="1"/>
  <c r="N36" i="1"/>
  <c r="K36" i="1"/>
  <c r="N44" i="1"/>
  <c r="K44" i="1"/>
  <c r="N52" i="1"/>
  <c r="K52" i="1"/>
  <c r="N60" i="1"/>
  <c r="K60" i="1"/>
  <c r="F77" i="1"/>
  <c r="H78" i="1" s="1"/>
  <c r="O77" i="1"/>
  <c r="W77" i="1" s="1"/>
  <c r="M77" i="1"/>
  <c r="N77" i="1" s="1"/>
  <c r="AC77" i="1"/>
  <c r="D78" i="1"/>
  <c r="E78" i="1"/>
  <c r="F57" i="4"/>
  <c r="G57" i="4" s="1"/>
  <c r="J57" i="4" s="1"/>
  <c r="AJ44" i="1" s="1"/>
  <c r="H58" i="4"/>
  <c r="J73" i="1" l="1"/>
  <c r="K73" i="1" s="1"/>
  <c r="I74" i="1"/>
  <c r="Q73" i="1"/>
  <c r="S72" i="1"/>
  <c r="T72" i="1" s="1"/>
  <c r="U72" i="1" s="1"/>
  <c r="R77" i="1"/>
  <c r="P78" i="1"/>
  <c r="X79" i="1"/>
  <c r="Y75" i="1"/>
  <c r="Z75" i="1" s="1"/>
  <c r="AA75" i="1" s="1"/>
  <c r="H57" i="4"/>
  <c r="F78" i="1"/>
  <c r="H79" i="1" s="1"/>
  <c r="O78" i="1"/>
  <c r="W78" i="1" s="1"/>
  <c r="M78" i="1"/>
  <c r="N78" i="1" s="1"/>
  <c r="D79" i="1"/>
  <c r="AC78" i="1"/>
  <c r="E79" i="1"/>
  <c r="F56" i="4"/>
  <c r="G56" i="4" s="1"/>
  <c r="J56" i="4" s="1"/>
  <c r="AJ43" i="1" s="1"/>
  <c r="J74" i="1" l="1"/>
  <c r="K74" i="1" s="1"/>
  <c r="I75" i="1"/>
  <c r="Q74" i="1"/>
  <c r="S73" i="1"/>
  <c r="T73" i="1" s="1"/>
  <c r="U73" i="1" s="1"/>
  <c r="R78" i="1"/>
  <c r="P79" i="1"/>
  <c r="X80" i="1"/>
  <c r="Y76" i="1"/>
  <c r="Z76" i="1" s="1"/>
  <c r="AA76" i="1" s="1"/>
  <c r="F79" i="1"/>
  <c r="H80" i="1" s="1"/>
  <c r="O79" i="1"/>
  <c r="W79" i="1" s="1"/>
  <c r="M79" i="1"/>
  <c r="N79" i="1" s="1"/>
  <c r="D80" i="1"/>
  <c r="AC79" i="1"/>
  <c r="E80" i="1"/>
  <c r="F55" i="4"/>
  <c r="G55" i="4" s="1"/>
  <c r="J55" i="4" s="1"/>
  <c r="AJ42" i="1" s="1"/>
  <c r="H56" i="4"/>
  <c r="I76" i="1" l="1"/>
  <c r="J75" i="1"/>
  <c r="K75" i="1" s="1"/>
  <c r="Q75" i="1"/>
  <c r="S74" i="1"/>
  <c r="T74" i="1" s="1"/>
  <c r="U74" i="1" s="1"/>
  <c r="X81" i="1"/>
  <c r="R79" i="1"/>
  <c r="P80" i="1"/>
  <c r="Y77" i="1"/>
  <c r="Z77" i="1" s="1"/>
  <c r="AA77" i="1" s="1"/>
  <c r="F80" i="1"/>
  <c r="H81" i="1" s="1"/>
  <c r="O80" i="1"/>
  <c r="W80" i="1" s="1"/>
  <c r="M80" i="1"/>
  <c r="N80" i="1" s="1"/>
  <c r="AC80" i="1"/>
  <c r="D81" i="1"/>
  <c r="H55" i="4"/>
  <c r="E81" i="1"/>
  <c r="F54" i="4"/>
  <c r="G54" i="4" s="1"/>
  <c r="J54" i="4" s="1"/>
  <c r="AJ41" i="1" s="1"/>
  <c r="Q76" i="1" l="1"/>
  <c r="S75" i="1"/>
  <c r="T75" i="1" s="1"/>
  <c r="U75" i="1" s="1"/>
  <c r="J76" i="1"/>
  <c r="K76" i="1" s="1"/>
  <c r="I77" i="1"/>
  <c r="R80" i="1"/>
  <c r="P81" i="1"/>
  <c r="X82" i="1"/>
  <c r="Y78" i="1"/>
  <c r="Z78" i="1" s="1"/>
  <c r="AA78" i="1" s="1"/>
  <c r="U36" i="1"/>
  <c r="F81" i="1"/>
  <c r="H82" i="1" s="1"/>
  <c r="O81" i="1"/>
  <c r="W81" i="1" s="1"/>
  <c r="M81" i="1"/>
  <c r="N81" i="1" s="1"/>
  <c r="D82" i="1"/>
  <c r="AC81" i="1"/>
  <c r="E82" i="1"/>
  <c r="F53" i="4"/>
  <c r="G53" i="4" s="1"/>
  <c r="H54" i="4"/>
  <c r="C41" i="6" l="1"/>
  <c r="I78" i="1"/>
  <c r="J77" i="1"/>
  <c r="K77" i="1" s="1"/>
  <c r="Q77" i="1"/>
  <c r="S76" i="1"/>
  <c r="T76" i="1" s="1"/>
  <c r="U76" i="1" s="1"/>
  <c r="C39" i="6"/>
  <c r="X83" i="1"/>
  <c r="R81" i="1"/>
  <c r="P82" i="1"/>
  <c r="Y79" i="1"/>
  <c r="Z79" i="1" s="1"/>
  <c r="AA79" i="1" s="1"/>
  <c r="F82" i="1"/>
  <c r="H83" i="1" s="1"/>
  <c r="O82" i="1"/>
  <c r="W82" i="1" s="1"/>
  <c r="M82" i="1"/>
  <c r="N82" i="1" s="1"/>
  <c r="D83" i="1"/>
  <c r="AC82" i="1"/>
  <c r="E83" i="1"/>
  <c r="H53" i="4"/>
  <c r="F52" i="4"/>
  <c r="G52" i="4" s="1"/>
  <c r="Q78" i="1" l="1"/>
  <c r="S77" i="1"/>
  <c r="T77" i="1" s="1"/>
  <c r="U77" i="1" s="1"/>
  <c r="I79" i="1"/>
  <c r="J78" i="1"/>
  <c r="K78" i="1" s="1"/>
  <c r="X84" i="1"/>
  <c r="R82" i="1"/>
  <c r="P83" i="1"/>
  <c r="Y80" i="1"/>
  <c r="Z80" i="1" s="1"/>
  <c r="AA80" i="1" s="1"/>
  <c r="F83" i="1"/>
  <c r="H84" i="1" s="1"/>
  <c r="O83" i="1"/>
  <c r="W83" i="1" s="1"/>
  <c r="M83" i="1"/>
  <c r="N83" i="1" s="1"/>
  <c r="AC83" i="1"/>
  <c r="D84" i="1"/>
  <c r="E84" i="1"/>
  <c r="F51" i="4"/>
  <c r="G51" i="4" s="1"/>
  <c r="H52" i="4"/>
  <c r="I80" i="1" l="1"/>
  <c r="J79" i="1"/>
  <c r="K79" i="1" s="1"/>
  <c r="Q79" i="1"/>
  <c r="S78" i="1"/>
  <c r="T78" i="1" s="1"/>
  <c r="U78" i="1" s="1"/>
  <c r="H51" i="4"/>
  <c r="R83" i="1"/>
  <c r="P84" i="1"/>
  <c r="X85" i="1"/>
  <c r="Y81" i="1"/>
  <c r="Z81" i="1" s="1"/>
  <c r="F84" i="1"/>
  <c r="H85" i="1" s="1"/>
  <c r="O84" i="1"/>
  <c r="W84" i="1" s="1"/>
  <c r="M84" i="1"/>
  <c r="N84" i="1" s="1"/>
  <c r="D85" i="1"/>
  <c r="AC84" i="1"/>
  <c r="E85" i="1"/>
  <c r="F50" i="4"/>
  <c r="G50" i="4" s="1"/>
  <c r="Q80" i="1" l="1"/>
  <c r="S79" i="1"/>
  <c r="T79" i="1" s="1"/>
  <c r="U79" i="1" s="1"/>
  <c r="I81" i="1"/>
  <c r="J80" i="1"/>
  <c r="K80" i="1" s="1"/>
  <c r="AA81" i="1"/>
  <c r="X86" i="1"/>
  <c r="R84" i="1"/>
  <c r="P85" i="1"/>
  <c r="Y82" i="1"/>
  <c r="Z82" i="1" s="1"/>
  <c r="AA82" i="1" s="1"/>
  <c r="F85" i="1"/>
  <c r="H86" i="1" s="1"/>
  <c r="O85" i="1"/>
  <c r="W85" i="1" s="1"/>
  <c r="M85" i="1"/>
  <c r="N85" i="1" s="1"/>
  <c r="AC85" i="1"/>
  <c r="D86" i="1"/>
  <c r="E86" i="1"/>
  <c r="F49" i="4"/>
  <c r="G49" i="4" s="1"/>
  <c r="H50" i="4"/>
  <c r="I82" i="1" l="1"/>
  <c r="J81" i="1"/>
  <c r="Q81" i="1"/>
  <c r="S80" i="1"/>
  <c r="T80" i="1" s="1"/>
  <c r="U80" i="1" s="1"/>
  <c r="R85" i="1"/>
  <c r="P86" i="1"/>
  <c r="Y83" i="1"/>
  <c r="Z83" i="1" s="1"/>
  <c r="AA83" i="1" s="1"/>
  <c r="H49" i="4"/>
  <c r="F86" i="1"/>
  <c r="O86" i="1"/>
  <c r="W86" i="1" s="1"/>
  <c r="M86" i="1"/>
  <c r="AC86" i="1"/>
  <c r="F48" i="4"/>
  <c r="G48" i="4" s="1"/>
  <c r="K81" i="1" l="1"/>
  <c r="D41" i="6"/>
  <c r="D44" i="6"/>
  <c r="D46" i="6"/>
  <c r="E44" i="6"/>
  <c r="E46" i="6"/>
  <c r="E41" i="6"/>
  <c r="N86" i="1"/>
  <c r="AH41" i="1"/>
  <c r="AI41" i="1" s="1"/>
  <c r="AK41" i="1" s="1"/>
  <c r="Q82" i="1"/>
  <c r="S81" i="1"/>
  <c r="T81" i="1" s="1"/>
  <c r="J82" i="1"/>
  <c r="K82" i="1" s="1"/>
  <c r="I83" i="1"/>
  <c r="R86" i="1"/>
  <c r="Y84" i="1"/>
  <c r="Z84" i="1" s="1"/>
  <c r="AA84" i="1" s="1"/>
  <c r="AH45" i="1"/>
  <c r="AI45" i="1" s="1"/>
  <c r="AK45" i="1" s="1"/>
  <c r="AH46" i="1"/>
  <c r="AI46" i="1" s="1"/>
  <c r="AK46" i="1" s="1"/>
  <c r="AH44" i="1"/>
  <c r="AI44" i="1" s="1"/>
  <c r="AK44" i="1" s="1"/>
  <c r="AH42" i="1"/>
  <c r="AI42" i="1" s="1"/>
  <c r="AH50" i="1"/>
  <c r="AI50" i="1" s="1"/>
  <c r="AK50" i="1" s="1"/>
  <c r="AH47" i="1"/>
  <c r="AI47" i="1" s="1"/>
  <c r="AK47" i="1" s="1"/>
  <c r="AH48" i="1"/>
  <c r="AI48" i="1" s="1"/>
  <c r="AK48" i="1" s="1"/>
  <c r="AH51" i="1"/>
  <c r="AI51" i="1" s="1"/>
  <c r="AK51" i="1" s="1"/>
  <c r="AH52" i="1"/>
  <c r="AI52" i="1" s="1"/>
  <c r="AK52" i="1" s="1"/>
  <c r="AH49" i="1"/>
  <c r="AI49" i="1" s="1"/>
  <c r="AK49" i="1" s="1"/>
  <c r="AH43" i="1"/>
  <c r="AI43" i="1" s="1"/>
  <c r="AH53" i="1"/>
  <c r="AI53" i="1" s="1"/>
  <c r="AK53" i="1" s="1"/>
  <c r="AH54" i="1"/>
  <c r="AI54" i="1" s="1"/>
  <c r="AK54" i="1" s="1"/>
  <c r="AH55" i="1"/>
  <c r="AI55" i="1" s="1"/>
  <c r="AK55" i="1" s="1"/>
  <c r="AH56" i="1"/>
  <c r="AI56" i="1" s="1"/>
  <c r="AK56" i="1" s="1"/>
  <c r="AH57" i="1"/>
  <c r="AI57" i="1" s="1"/>
  <c r="AK57" i="1" s="1"/>
  <c r="AH58" i="1"/>
  <c r="AI58" i="1" s="1"/>
  <c r="AK58" i="1" s="1"/>
  <c r="AH59" i="1"/>
  <c r="AI59" i="1" s="1"/>
  <c r="AK59" i="1" s="1"/>
  <c r="AH60" i="1"/>
  <c r="AI60" i="1" s="1"/>
  <c r="AK60" i="1" s="1"/>
  <c r="AH61" i="1"/>
  <c r="AI61" i="1" s="1"/>
  <c r="AK61" i="1" s="1"/>
  <c r="AH63" i="1"/>
  <c r="AI63" i="1" s="1"/>
  <c r="AK63" i="1" s="1"/>
  <c r="AH62" i="1"/>
  <c r="AI62" i="1" s="1"/>
  <c r="AK62" i="1" s="1"/>
  <c r="F47" i="4"/>
  <c r="G47" i="4" s="1"/>
  <c r="H48" i="4"/>
  <c r="Q83" i="1" l="1"/>
  <c r="S82" i="1"/>
  <c r="T82" i="1" s="1"/>
  <c r="U82" i="1" s="1"/>
  <c r="I84" i="1"/>
  <c r="J83" i="1"/>
  <c r="K83" i="1" s="1"/>
  <c r="U81" i="1"/>
  <c r="C46" i="6"/>
  <c r="D39" i="6"/>
  <c r="D42" i="6"/>
  <c r="E42" i="6"/>
  <c r="E39" i="6"/>
  <c r="C42" i="6"/>
  <c r="AK42" i="1"/>
  <c r="Y85" i="1"/>
  <c r="Z85" i="1" s="1"/>
  <c r="AA85" i="1" s="1"/>
  <c r="AK43" i="1"/>
  <c r="H47" i="4"/>
  <c r="F46" i="4"/>
  <c r="G46" i="4" s="1"/>
  <c r="I85" i="1" l="1"/>
  <c r="J84" i="1"/>
  <c r="K84" i="1" s="1"/>
  <c r="Q84" i="1"/>
  <c r="S83" i="1"/>
  <c r="T83" i="1" s="1"/>
  <c r="U83" i="1" s="1"/>
  <c r="C44" i="6"/>
  <c r="Y86" i="1"/>
  <c r="Z86" i="1" s="1"/>
  <c r="AA86" i="1" s="1"/>
  <c r="H46" i="4"/>
  <c r="F45" i="4"/>
  <c r="G45" i="4" s="1"/>
  <c r="Q85" i="1" l="1"/>
  <c r="S84" i="1"/>
  <c r="T84" i="1" s="1"/>
  <c r="U84" i="1" s="1"/>
  <c r="I86" i="1"/>
  <c r="J86" i="1" s="1"/>
  <c r="K86" i="1" s="1"/>
  <c r="J85" i="1"/>
  <c r="K85" i="1" s="1"/>
  <c r="H45" i="4"/>
  <c r="F44" i="4"/>
  <c r="G44" i="4" s="1"/>
  <c r="Q86" i="1" l="1"/>
  <c r="S86" i="1" s="1"/>
  <c r="T86" i="1" s="1"/>
  <c r="U86" i="1" s="1"/>
  <c r="S85" i="1"/>
  <c r="T85" i="1" s="1"/>
  <c r="U85" i="1" s="1"/>
  <c r="F43" i="4"/>
  <c r="G43" i="4" s="1"/>
  <c r="H44" i="4"/>
  <c r="H43" i="4" l="1"/>
  <c r="F42" i="4"/>
  <c r="G42" i="4" s="1"/>
  <c r="F41" i="4" l="1"/>
  <c r="G41" i="4" s="1"/>
  <c r="H42" i="4"/>
  <c r="H41" i="4" l="1"/>
  <c r="F40" i="4"/>
  <c r="G40" i="4" s="1"/>
  <c r="F39" i="4" l="1"/>
  <c r="G39" i="4" s="1"/>
  <c r="H40" i="4"/>
  <c r="H39" i="4" l="1"/>
  <c r="F38" i="4"/>
  <c r="G38" i="4" s="1"/>
  <c r="F37" i="4" l="1"/>
  <c r="G37" i="4" s="1"/>
  <c r="H38" i="4"/>
  <c r="H37" i="4" l="1"/>
  <c r="F36" i="4"/>
  <c r="G36" i="4" s="1"/>
  <c r="F35" i="4" l="1"/>
  <c r="G35" i="4" s="1"/>
  <c r="H36" i="4"/>
  <c r="H35" i="4" l="1"/>
  <c r="F34" i="4"/>
  <c r="G34" i="4" s="1"/>
  <c r="F33" i="4" l="1"/>
  <c r="G33" i="4" s="1"/>
  <c r="H34" i="4"/>
  <c r="H33" i="4" l="1"/>
  <c r="F32" i="4"/>
  <c r="G32" i="4" s="1"/>
  <c r="F31" i="4" l="1"/>
  <c r="G31" i="4" s="1"/>
  <c r="H32" i="4"/>
  <c r="F30" i="4" l="1"/>
  <c r="G30" i="4" s="1"/>
  <c r="H31" i="4"/>
  <c r="H30" i="4" l="1"/>
  <c r="F29" i="4"/>
  <c r="G29" i="4" s="1"/>
  <c r="F28" i="4" l="1"/>
  <c r="G28" i="4" s="1"/>
  <c r="H29" i="4"/>
  <c r="H28" i="4" l="1"/>
  <c r="F27" i="4"/>
  <c r="G27" i="4" s="1"/>
  <c r="F26" i="4" l="1"/>
  <c r="G26" i="4" s="1"/>
  <c r="H27" i="4"/>
  <c r="H26" i="4" l="1"/>
  <c r="F25" i="4"/>
  <c r="G25" i="4" s="1"/>
  <c r="F24" i="4" l="1"/>
  <c r="G24" i="4" s="1"/>
  <c r="H25" i="4"/>
  <c r="H24" i="4" l="1"/>
  <c r="F23" i="4"/>
  <c r="G23" i="4" s="1"/>
  <c r="F22" i="4" l="1"/>
  <c r="G22" i="4" s="1"/>
  <c r="H23" i="4"/>
  <c r="H22" i="4" l="1"/>
  <c r="F21" i="4"/>
  <c r="G21" i="4" s="1"/>
  <c r="F20" i="4" l="1"/>
  <c r="G20" i="4" s="1"/>
  <c r="H21" i="4"/>
  <c r="H20" i="4" l="1"/>
  <c r="F19" i="4"/>
  <c r="G19" i="4" s="1"/>
  <c r="F18" i="4" l="1"/>
  <c r="G18" i="4" s="1"/>
  <c r="H19" i="4"/>
  <c r="H18" i="4" l="1"/>
  <c r="F17" i="4"/>
  <c r="G17" i="4" s="1"/>
  <c r="F16" i="4" l="1"/>
  <c r="G16" i="4" s="1"/>
  <c r="H17" i="4"/>
  <c r="H16" i="4" l="1"/>
  <c r="F15" i="4"/>
  <c r="G15" i="4" s="1"/>
  <c r="F14" i="4" l="1"/>
  <c r="G14" i="4" s="1"/>
  <c r="H15" i="4"/>
  <c r="H14" i="4" l="1"/>
</calcChain>
</file>

<file path=xl/sharedStrings.xml><?xml version="1.0" encoding="utf-8"?>
<sst xmlns="http://schemas.openxmlformats.org/spreadsheetml/2006/main" count="227" uniqueCount="179">
  <si>
    <t>OTRS</t>
  </si>
  <si>
    <t>X</t>
  </si>
  <si>
    <t xml:space="preserve">INTEREST </t>
  </si>
  <si>
    <t>DEFERRED</t>
  </si>
  <si>
    <t>ANNUITY @</t>
  </si>
  <si>
    <t>BASED UPON 94 GAR UNISEX MORTALITY</t>
  </si>
  <si>
    <t>NA</t>
  </si>
  <si>
    <t>DCP AND OTRS WITH ANNUITY</t>
  </si>
  <si>
    <t>What Are Your Assumptions?</t>
  </si>
  <si>
    <t>Input your information</t>
  </si>
  <si>
    <t>in this column</t>
  </si>
  <si>
    <t>NOTES:</t>
  </si>
  <si>
    <t xml:space="preserve">This spreadsheet gives you a way to try different scenarios to help you evaluate how your decision </t>
  </si>
  <si>
    <t xml:space="preserve">It is also important to carefully read the Retirement Plan Decision Guide to be sure you understand the considerations </t>
  </si>
  <si>
    <t>Age at Hire</t>
  </si>
  <si>
    <t>Age at Termination</t>
  </si>
  <si>
    <t>Salary Increase</t>
  </si>
  <si>
    <t>Investment Return</t>
  </si>
  <si>
    <t>Information regarding which plan to elect</t>
  </si>
  <si>
    <t>Annual AD&amp;D</t>
  </si>
  <si>
    <t>Disability</t>
  </si>
  <si>
    <t>Total benefits</t>
  </si>
  <si>
    <t>Grossed up benefits</t>
  </si>
  <si>
    <t>Total compensation</t>
  </si>
  <si>
    <t>OTRS contribution</t>
  </si>
  <si>
    <t>OTRS contribution as a percentage of base pay in first year</t>
  </si>
  <si>
    <t>Base pay</t>
  </si>
  <si>
    <t>50% of pay benefit</t>
  </si>
  <si>
    <t xml:space="preserve">Level of voluntary contribution </t>
  </si>
  <si>
    <t>Qx</t>
  </si>
  <si>
    <t>Lx</t>
  </si>
  <si>
    <t>Dx</t>
  </si>
  <si>
    <t>Nx</t>
  </si>
  <si>
    <t>Nx(12)</t>
  </si>
  <si>
    <t>Sx</t>
  </si>
  <si>
    <t>A.</t>
  </si>
  <si>
    <t>Information from Input Page</t>
  </si>
  <si>
    <t>1.</t>
  </si>
  <si>
    <t>2.</t>
  </si>
  <si>
    <t>3.</t>
  </si>
  <si>
    <t>4.</t>
  </si>
  <si>
    <t>5.</t>
  </si>
  <si>
    <t>6.</t>
  </si>
  <si>
    <t>Option A</t>
  </si>
  <si>
    <t>Option B</t>
  </si>
  <si>
    <t>7.</t>
  </si>
  <si>
    <t>Contribution</t>
  </si>
  <si>
    <t>Input Items for Calculator</t>
  </si>
  <si>
    <t>Defined contribution plan employer contribution rate</t>
  </si>
  <si>
    <t>B.</t>
  </si>
  <si>
    <t>Average annual medical costs including dental</t>
  </si>
  <si>
    <t>8.</t>
  </si>
  <si>
    <t>Estimated annual life insurance</t>
  </si>
  <si>
    <t>9.</t>
  </si>
  <si>
    <t>10.</t>
  </si>
  <si>
    <t>11.</t>
  </si>
  <si>
    <t>12.</t>
  </si>
  <si>
    <t>13.</t>
  </si>
  <si>
    <t>Calculations</t>
  </si>
  <si>
    <t>Age</t>
  </si>
  <si>
    <t>Base</t>
  </si>
  <si>
    <t>Pay</t>
  </si>
  <si>
    <t>Total</t>
  </si>
  <si>
    <t>Compensation</t>
  </si>
  <si>
    <t>DC Plan</t>
  </si>
  <si>
    <t>Balance</t>
  </si>
  <si>
    <t>Vested</t>
  </si>
  <si>
    <t>Equivalent</t>
  </si>
  <si>
    <t>Annuity</t>
  </si>
  <si>
    <t>Accrued</t>
  </si>
  <si>
    <t>Benefit</t>
  </si>
  <si>
    <t>Employee</t>
  </si>
  <si>
    <t>Accumulated</t>
  </si>
  <si>
    <t>Interest</t>
  </si>
  <si>
    <t>Accumulated Ee Contributions</t>
  </si>
  <si>
    <t>With</t>
  </si>
  <si>
    <t>Without</t>
  </si>
  <si>
    <t>Earned</t>
  </si>
  <si>
    <t>Withdrawal</t>
  </si>
  <si>
    <t>Of Employee</t>
  </si>
  <si>
    <t>Contributions</t>
  </si>
  <si>
    <t>With Interest</t>
  </si>
  <si>
    <t>Return of Employee Contributions from OTRS in Lieu of OTRS Annuity</t>
  </si>
  <si>
    <t xml:space="preserve">Payable </t>
  </si>
  <si>
    <t xml:space="preserve">Voluntary Defined Contribution Plan </t>
  </si>
  <si>
    <t>Voluntary</t>
  </si>
  <si>
    <t>Account</t>
  </si>
  <si>
    <t xml:space="preserve">Balance </t>
  </si>
  <si>
    <t>Years of</t>
  </si>
  <si>
    <t>Service</t>
  </si>
  <si>
    <t>Percentage</t>
  </si>
  <si>
    <t>Factors for Return</t>
  </si>
  <si>
    <t>Employee Contributions</t>
  </si>
  <si>
    <t>Defined Contribution Plan Employer Contribution Account</t>
  </si>
  <si>
    <t>Participate in</t>
  </si>
  <si>
    <t>Teachers Retirement</t>
  </si>
  <si>
    <t>Participate in DC</t>
  </si>
  <si>
    <t>for choosing Option A or Option B -- so that you can make an informed decision about which track is best for you.</t>
  </si>
  <si>
    <t>Annual percentage increase in pay and fringe benefits (enter a rate from 1.0% to 6.0%)</t>
  </si>
  <si>
    <t>Estimated annual return on defined contribution account balances</t>
  </si>
  <si>
    <t>a.</t>
  </si>
  <si>
    <t>b.</t>
  </si>
  <si>
    <t>c.</t>
  </si>
  <si>
    <t>d.</t>
  </si>
  <si>
    <t>e.</t>
  </si>
  <si>
    <t>If you terminate before you are vested in OTRS (5 years), Option A will not reflect an annuity even though you will receive a return of your contributions with interest.</t>
  </si>
  <si>
    <t>f.</t>
  </si>
  <si>
    <t>System (OTRS) and</t>
  </si>
  <si>
    <t>pay 7.0% into OTRS</t>
  </si>
  <si>
    <t>g.</t>
  </si>
  <si>
    <t xml:space="preserve">Early Retirement </t>
  </si>
  <si>
    <t>Factors</t>
  </si>
  <si>
    <t>Factor</t>
  </si>
  <si>
    <t xml:space="preserve">Unreduced </t>
  </si>
  <si>
    <t>IMMEDIATE</t>
  </si>
  <si>
    <t>AND ABOVE</t>
  </si>
  <si>
    <t>at Age 65</t>
  </si>
  <si>
    <t>Reduced</t>
  </si>
  <si>
    <t xml:space="preserve">PV </t>
  </si>
  <si>
    <t>Present</t>
  </si>
  <si>
    <t>Value</t>
  </si>
  <si>
    <t>ER</t>
  </si>
  <si>
    <t>Option C</t>
  </si>
  <si>
    <t xml:space="preserve">We have also provided an Option C.  This indicates what your annuity values would be if you voluntarily contributed to a DC plan in the </t>
  </si>
  <si>
    <t>same amount you are required to contribute to OTRS if you elect Option A.  Of course you can contribute at any level you desire</t>
  </si>
  <si>
    <t>Annuity Payable</t>
  </si>
  <si>
    <t>@ 65</t>
  </si>
  <si>
    <t xml:space="preserve">payable at </t>
  </si>
  <si>
    <t>65 or later</t>
  </si>
  <si>
    <t xml:space="preserve">Value of </t>
  </si>
  <si>
    <t>OTRS AB</t>
  </si>
  <si>
    <t xml:space="preserve">payable </t>
  </si>
  <si>
    <t xml:space="preserve">at 65 </t>
  </si>
  <si>
    <t>or later</t>
  </si>
  <si>
    <t>Acc. Ben.</t>
  </si>
  <si>
    <t xml:space="preserve">The amount you will receive is you choose a lump sum benefit at your date of termination </t>
  </si>
  <si>
    <t>and no Voluntary</t>
  </si>
  <si>
    <t xml:space="preserve">Contribution and </t>
  </si>
  <si>
    <t>no Voluntary</t>
  </si>
  <si>
    <t xml:space="preserve">Contribution </t>
  </si>
  <si>
    <t>The estimated annual return you input will also be used to convert your account balance to an annual equivalent benefit for your life expectancy based upon the mortality table being used.</t>
  </si>
  <si>
    <t>you have input below and your life expectancy based upon the standard mortality table being used.</t>
  </si>
  <si>
    <t>This calculator assumes that you have no service under OTRS prior to November 1, 2011.  If you do, please contact Human Resources for further information.</t>
  </si>
  <si>
    <t>Note that Options B and C do not provide guaranteed annuities but only estimated annuity values based upon the estimated annual return</t>
  </si>
  <si>
    <t>(See item 4 above)</t>
  </si>
  <si>
    <t>at</t>
  </si>
  <si>
    <t>BOY</t>
  </si>
  <si>
    <t>Estimated present value of your benefit payable at early retirement age (if 60 or older with 5 years of service is elected)</t>
  </si>
  <si>
    <t>Estimated present value of your benefit payable at age 65 or later</t>
  </si>
  <si>
    <t>Using the assumptions you input above, here are the estimated benefits you would earn from the different benefit options available to you and the value of such benefits you would earn.</t>
  </si>
  <si>
    <t>Estimated annual benefit at early retirement age (if age 60 or older with 5 years service is elected)</t>
  </si>
  <si>
    <t>Average monthly medical costs</t>
  </si>
  <si>
    <t>C.</t>
  </si>
  <si>
    <t>Cost per $1,000 for the following benefits</t>
  </si>
  <si>
    <t>Life Insurance</t>
  </si>
  <si>
    <t>AD&amp;D</t>
  </si>
  <si>
    <t>14.</t>
  </si>
  <si>
    <t>Part of first contributions received</t>
  </si>
  <si>
    <t>Same as</t>
  </si>
  <si>
    <t>Option B but</t>
  </si>
  <si>
    <t>with additional</t>
  </si>
  <si>
    <t>15.</t>
  </si>
  <si>
    <t>Voluntary employee contributions</t>
  </si>
  <si>
    <t>Additional voluntary employee contributions as a percentage of Base Salary (enter a rate from 0% to 15%)</t>
  </si>
  <si>
    <t>Contributions, if any</t>
  </si>
  <si>
    <t>This modeling tool does not limit your ability to increase your pay, your contributions to any defined contribution plan or your defined benefit above the maximum limits.  For more details, please contact Human Resources.</t>
  </si>
  <si>
    <t>Modeling Tool to Compare Option A, Option B and Option C Under Rogers State University's Retirement Plans</t>
  </si>
  <si>
    <t>Rogers State University</t>
  </si>
  <si>
    <t>Nearest whole age you started working at RSU</t>
  </si>
  <si>
    <t>Age you plan on retiring or terminating from RSU</t>
  </si>
  <si>
    <t>Your Base Salary when you start working at RSU to the nearest dollar</t>
  </si>
  <si>
    <t>such as the age you leave RSU or the annual investment return to see how those differences will affect your benefits.</t>
  </si>
  <si>
    <t>Remember that after you make your election, you may never change it, even if you leave RSU and later return.</t>
  </si>
  <si>
    <t>If you elect Option A, you will receive a benefit under OTRS.  You will be responsible for the employee contribution portion to the plan which is 7.0% of your total compensation (i.e. salary plus benefits).</t>
  </si>
  <si>
    <t>These figures are calculated using the assumptions you input above for the age you stop working at RSU and the estimated annual return.</t>
  </si>
  <si>
    <t>If you take a lump sum distribution from Option A, you will receive your employee contributions to OTRS with interest but none of RSU's contributions.</t>
  </si>
  <si>
    <t>Rogers State University DC contribution percentage</t>
  </si>
  <si>
    <t xml:space="preserve">to elect Option A or Option B would affect your benefits when you retire or leave RSU. Try changing your assumptions, </t>
  </si>
  <si>
    <t>same amount you are required to contribute to OTRS if you elect Option A.  Of course you can contribute at any level you desire.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</si>
</sst>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_(* #,##0.0000_);_(* \(#,##0.0000\);_(* &quot;-&quot;??_);_(@_)"/>
    <numFmt numFmtId="166" formatCode="_(&quot;$&quot;* #,##0.0000_);_(&quot;$&quot;* \(#,##0.0000\);_(&quot;$&quot;* &quot;-&quot;??_);_(@_)"/>
    <numFmt numFmtId="167" formatCode="0.000000"/>
    <numFmt numFmtId="168" formatCode="&quot;$&quot;#,##0.00"/>
    <numFmt numFmtId="169" formatCode="&quot;$&quot;#,##0"/>
    <numFmt numFmtId="170" formatCode="[$$-409]#,##0_);\([$$-409]#,##0\)"/>
    <numFmt numFmtId="171" formatCode="0.0000"/>
    <numFmt numFmtId="172" formatCode="0.000%"/>
    <numFmt numFmtId="173" formatCode="0.00000"/>
    <numFmt numFmtId="174" formatCode="&quot;$&quot;#,##0.000"/>
    <numFmt numFmtId="175" formatCode="0.0%"/>
  </numFmts>
  <fonts count="15" x14ac:knownFonts="1">
    <font>
      <sz val="10"/>
      <name val="Arial"/>
    </font>
    <font>
      <sz val="10"/>
      <name val="Arial"/>
      <family val="2"/>
    </font>
    <font>
      <sz val="10"/>
      <name val="Arial"/>
      <family val="2"/>
    </font>
    <font>
      <sz val="10"/>
      <name val="Times New Roman"/>
      <family val="1"/>
    </font>
    <font>
      <sz val="12"/>
      <name val="Times New Roman"/>
      <family val="1"/>
    </font>
    <font>
      <b/>
      <sz val="12"/>
      <name val="Times New Roman"/>
      <family val="1"/>
    </font>
    <font>
      <b/>
      <sz val="14"/>
      <name val="Times New Roman"/>
      <family val="1"/>
    </font>
    <font>
      <i/>
      <sz val="12"/>
      <name val="Times New Roman"/>
      <family val="1"/>
    </font>
    <font>
      <b/>
      <sz val="10"/>
      <color indexed="10"/>
      <name val="Times New Roman"/>
      <family val="1"/>
    </font>
    <font>
      <b/>
      <sz val="12"/>
      <color indexed="10"/>
      <name val="Times New Roman"/>
      <family val="1"/>
    </font>
    <font>
      <b/>
      <sz val="12"/>
      <color rgb="FFFF0000"/>
      <name val="Times New Roman"/>
      <family val="1"/>
    </font>
    <font>
      <b/>
      <sz val="12"/>
      <color indexed="12"/>
      <name val="Times New Roman"/>
      <family val="1"/>
    </font>
    <font>
      <b/>
      <sz val="12"/>
      <color theme="0"/>
      <name val="Times New Roman"/>
      <family val="1"/>
    </font>
    <font>
      <b/>
      <strike/>
      <sz val="12"/>
      <name val="Times New Roman"/>
      <family val="1"/>
    </font>
    <font>
      <strike/>
      <sz val="12"/>
      <name val="Times New Roman"/>
      <family val="1"/>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3" tint="-0.499984740745262"/>
        <bgColor indexed="64"/>
      </patternFill>
    </fill>
  </fills>
  <borders count="15">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0" fillId="0" borderId="0" xfId="0" applyAlignment="1">
      <alignment horizontal="center"/>
    </xf>
    <xf numFmtId="10" fontId="1" fillId="0" borderId="0" xfId="3" applyNumberFormat="1"/>
    <xf numFmtId="164" fontId="1" fillId="0" borderId="0" xfId="1" applyNumberFormat="1" applyAlignment="1">
      <alignment horizontal="center"/>
    </xf>
    <xf numFmtId="164" fontId="0" fillId="0" borderId="0" xfId="0" applyNumberFormat="1"/>
    <xf numFmtId="165" fontId="1" fillId="0" borderId="0" xfId="1" applyNumberFormat="1"/>
    <xf numFmtId="164" fontId="1" fillId="0" borderId="0" xfId="1" applyNumberFormat="1"/>
    <xf numFmtId="0" fontId="2" fillId="0" borderId="0" xfId="0" applyFont="1" applyAlignment="1">
      <alignment horizontal="center"/>
    </xf>
    <xf numFmtId="167" fontId="0" fillId="0" borderId="0" xfId="0" applyNumberFormat="1"/>
    <xf numFmtId="0" fontId="3" fillId="0" borderId="0" xfId="0" applyFont="1"/>
    <xf numFmtId="0" fontId="4" fillId="0" borderId="0" xfId="0" applyFont="1"/>
    <xf numFmtId="9" fontId="4" fillId="0" borderId="0" xfId="0" applyNumberFormat="1" applyFont="1"/>
    <xf numFmtId="168" fontId="4" fillId="0" borderId="0" xfId="0" applyNumberFormat="1" applyFont="1"/>
    <xf numFmtId="9" fontId="4" fillId="3" borderId="0" xfId="0" applyNumberFormat="1" applyFont="1" applyFill="1"/>
    <xf numFmtId="0" fontId="6" fillId="0" borderId="0" xfId="0" applyFont="1" applyAlignment="1">
      <alignment horizontal="centerContinuous"/>
    </xf>
    <xf numFmtId="0" fontId="4" fillId="0" borderId="0" xfId="0" applyFont="1" applyAlignment="1">
      <alignment horizontal="center"/>
    </xf>
    <xf numFmtId="0" fontId="4" fillId="0" borderId="0" xfId="0" quotePrefix="1" applyFont="1"/>
    <xf numFmtId="0" fontId="5" fillId="0" borderId="0" xfId="0" applyFont="1" applyAlignment="1">
      <alignment horizontal="center"/>
    </xf>
    <xf numFmtId="4" fontId="4" fillId="0" borderId="0" xfId="0" applyNumberFormat="1" applyFont="1"/>
    <xf numFmtId="10" fontId="5" fillId="0" borderId="0" xfId="3" applyNumberFormat="1" applyFont="1" applyAlignment="1">
      <alignment horizontal="center"/>
    </xf>
    <xf numFmtId="44" fontId="4" fillId="0" borderId="0" xfId="2" applyFont="1"/>
    <xf numFmtId="0" fontId="7" fillId="0" borderId="0" xfId="0" applyFont="1"/>
    <xf numFmtId="5" fontId="5" fillId="0" borderId="0" xfId="0" applyNumberFormat="1" applyFont="1"/>
    <xf numFmtId="7" fontId="4" fillId="0" borderId="0" xfId="0" applyNumberFormat="1" applyFont="1"/>
    <xf numFmtId="0" fontId="4" fillId="0" borderId="0" xfId="0" applyFont="1" applyFill="1"/>
    <xf numFmtId="10" fontId="4" fillId="0" borderId="0" xfId="3" applyNumberFormat="1" applyFont="1"/>
    <xf numFmtId="10" fontId="4" fillId="0" borderId="0" xfId="2" applyNumberFormat="1" applyFont="1"/>
    <xf numFmtId="0" fontId="5" fillId="0" borderId="0" xfId="0" applyFont="1"/>
    <xf numFmtId="9" fontId="4" fillId="0" borderId="0" xfId="3" applyFont="1" applyAlignment="1">
      <alignment horizontal="center"/>
    </xf>
    <xf numFmtId="0" fontId="4" fillId="0" borderId="0" xfId="0" applyFont="1" applyAlignment="1">
      <alignment horizontal="center"/>
    </xf>
    <xf numFmtId="44" fontId="4" fillId="0" borderId="0" xfId="0" applyNumberFormat="1" applyFont="1"/>
    <xf numFmtId="10" fontId="4" fillId="0" borderId="0" xfId="0" applyNumberFormat="1" applyFont="1"/>
    <xf numFmtId="4" fontId="4" fillId="0" borderId="0" xfId="0" applyNumberFormat="1" applyFont="1" applyAlignment="1">
      <alignment horizontal="center"/>
    </xf>
    <xf numFmtId="9" fontId="4" fillId="0" borderId="0" xfId="0" applyNumberFormat="1" applyFont="1" applyAlignment="1">
      <alignment horizontal="center"/>
    </xf>
    <xf numFmtId="5" fontId="4" fillId="0" borderId="0" xfId="2" applyNumberFormat="1" applyFont="1" applyAlignment="1"/>
    <xf numFmtId="166" fontId="4" fillId="0" borderId="0" xfId="0" applyNumberFormat="1" applyFont="1"/>
    <xf numFmtId="0" fontId="4" fillId="0" borderId="0" xfId="0" applyFont="1" applyAlignment="1"/>
    <xf numFmtId="0" fontId="4" fillId="0" borderId="0" xfId="0" applyFont="1" applyAlignment="1">
      <alignment horizontal="right"/>
    </xf>
    <xf numFmtId="10" fontId="4" fillId="0" borderId="0" xfId="3" applyNumberFormat="1" applyFont="1" applyAlignment="1"/>
    <xf numFmtId="5" fontId="4" fillId="0" borderId="0" xfId="0" applyNumberFormat="1" applyFont="1"/>
    <xf numFmtId="9" fontId="4" fillId="0" borderId="0" xfId="3" applyNumberFormat="1" applyFont="1" applyAlignment="1"/>
    <xf numFmtId="0" fontId="3" fillId="0" borderId="0" xfId="0" applyFont="1" applyProtection="1"/>
    <xf numFmtId="0" fontId="8" fillId="0" borderId="0" xfId="0" applyFont="1" applyProtection="1"/>
    <xf numFmtId="0" fontId="9" fillId="0" borderId="0" xfId="0" applyFont="1" applyProtection="1"/>
    <xf numFmtId="0" fontId="9" fillId="0" borderId="0" xfId="0" applyFont="1"/>
    <xf numFmtId="0" fontId="4" fillId="0" borderId="0" xfId="0" applyFont="1" applyProtection="1"/>
    <xf numFmtId="0" fontId="4" fillId="0" borderId="0" xfId="0" applyFont="1" applyFill="1" applyProtection="1"/>
    <xf numFmtId="0" fontId="9" fillId="0" borderId="3" xfId="0" applyFont="1" applyBorder="1" applyProtection="1"/>
    <xf numFmtId="0" fontId="9" fillId="0" borderId="4" xfId="0" applyFont="1" applyBorder="1" applyProtection="1"/>
    <xf numFmtId="0" fontId="4" fillId="0" borderId="6" xfId="0" applyFont="1" applyBorder="1" applyProtection="1"/>
    <xf numFmtId="0" fontId="4" fillId="0" borderId="7" xfId="0" applyFont="1" applyBorder="1" applyProtection="1"/>
    <xf numFmtId="0" fontId="4" fillId="0" borderId="0" xfId="0" applyFont="1" applyAlignment="1" applyProtection="1">
      <alignment horizontal="center"/>
    </xf>
    <xf numFmtId="0" fontId="4" fillId="0" borderId="3" xfId="0" applyFont="1" applyBorder="1" applyAlignment="1" applyProtection="1">
      <alignment horizontal="left"/>
    </xf>
    <xf numFmtId="0" fontId="4" fillId="0" borderId="4" xfId="0" applyFont="1" applyBorder="1" applyAlignment="1" applyProtection="1">
      <alignment horizontal="left"/>
    </xf>
    <xf numFmtId="0" fontId="4" fillId="0" borderId="8" xfId="0" applyFont="1" applyBorder="1" applyAlignment="1" applyProtection="1">
      <alignment horizontal="left"/>
    </xf>
    <xf numFmtId="0" fontId="4" fillId="0" borderId="0" xfId="0" applyFont="1" applyBorder="1" applyAlignment="1" applyProtection="1">
      <alignment horizontal="left"/>
    </xf>
    <xf numFmtId="0" fontId="9" fillId="0" borderId="10" xfId="0" applyFont="1" applyBorder="1" applyAlignment="1" applyProtection="1">
      <alignment horizontal="center"/>
    </xf>
    <xf numFmtId="0" fontId="9" fillId="0" borderId="8" xfId="0" applyFont="1" applyBorder="1" applyAlignment="1" applyProtection="1">
      <alignment horizontal="left"/>
    </xf>
    <xf numFmtId="0" fontId="9" fillId="0" borderId="0" xfId="0" applyFont="1" applyBorder="1" applyAlignment="1" applyProtection="1">
      <alignment horizontal="left"/>
    </xf>
    <xf numFmtId="0" fontId="9" fillId="0" borderId="6" xfId="0" applyFont="1" applyBorder="1" applyProtection="1"/>
    <xf numFmtId="0" fontId="9" fillId="0" borderId="0" xfId="0" applyFont="1" applyBorder="1" applyProtection="1"/>
    <xf numFmtId="0" fontId="9" fillId="0" borderId="11" xfId="0" applyFont="1" applyBorder="1" applyAlignment="1" applyProtection="1">
      <alignment horizontal="center"/>
    </xf>
    <xf numFmtId="0" fontId="4" fillId="0" borderId="6" xfId="0" quotePrefix="1" applyFont="1" applyBorder="1" applyProtection="1"/>
    <xf numFmtId="0" fontId="4" fillId="0" borderId="0" xfId="0" applyFont="1" applyBorder="1" applyProtection="1"/>
    <xf numFmtId="0" fontId="5" fillId="0" borderId="0" xfId="0" applyFont="1" applyFill="1" applyBorder="1" applyProtection="1"/>
    <xf numFmtId="44" fontId="11" fillId="0" borderId="0" xfId="2" applyFont="1" applyBorder="1" applyProtection="1"/>
    <xf numFmtId="0" fontId="4" fillId="0" borderId="12" xfId="0" applyFont="1" applyBorder="1" applyAlignment="1">
      <alignment horizontal="centerContinuous"/>
    </xf>
    <xf numFmtId="0" fontId="5" fillId="0" borderId="7" xfId="0" applyFont="1" applyBorder="1" applyAlignment="1">
      <alignment horizontal="centerContinuous"/>
    </xf>
    <xf numFmtId="169" fontId="4" fillId="0" borderId="0" xfId="0" applyNumberFormat="1" applyFont="1"/>
    <xf numFmtId="0" fontId="5" fillId="0" borderId="0" xfId="0" applyFont="1" applyAlignment="1">
      <alignment horizontal="centerContinuous"/>
    </xf>
    <xf numFmtId="170" fontId="11" fillId="0" borderId="13" xfId="2" applyNumberFormat="1" applyFont="1" applyBorder="1" applyAlignment="1" applyProtection="1">
      <alignment horizontal="center"/>
    </xf>
    <xf numFmtId="0" fontId="6" fillId="0" borderId="0" xfId="0" applyFont="1" applyAlignment="1" applyProtection="1">
      <alignment horizontal="centerContinuous"/>
    </xf>
    <xf numFmtId="0" fontId="3" fillId="0" borderId="0" xfId="0" applyFont="1" applyAlignment="1" applyProtection="1">
      <alignment horizontal="centerContinuous"/>
    </xf>
    <xf numFmtId="0" fontId="9" fillId="2" borderId="9" xfId="0" applyFont="1" applyFill="1" applyBorder="1" applyAlignment="1" applyProtection="1">
      <alignment horizontal="center"/>
    </xf>
    <xf numFmtId="0" fontId="9" fillId="2" borderId="11" xfId="0" applyFont="1" applyFill="1" applyBorder="1" applyAlignment="1" applyProtection="1">
      <alignment horizontal="center"/>
    </xf>
    <xf numFmtId="171" fontId="0" fillId="0" borderId="0" xfId="0" applyNumberFormat="1"/>
    <xf numFmtId="164" fontId="9" fillId="0" borderId="8" xfId="0" applyNumberFormat="1" applyFont="1" applyBorder="1" applyAlignment="1" applyProtection="1">
      <alignment horizontal="center"/>
    </xf>
    <xf numFmtId="0" fontId="9" fillId="0" borderId="8" xfId="0" applyFont="1" applyBorder="1" applyAlignment="1" applyProtection="1">
      <alignment horizontal="center"/>
    </xf>
    <xf numFmtId="43" fontId="9" fillId="0" borderId="8" xfId="0" applyNumberFormat="1" applyFont="1" applyBorder="1" applyAlignment="1" applyProtection="1">
      <alignment horizontal="center"/>
    </xf>
    <xf numFmtId="0" fontId="3" fillId="0" borderId="0" xfId="0" applyFont="1" applyAlignment="1">
      <alignment horizontal="center"/>
    </xf>
    <xf numFmtId="0" fontId="4" fillId="0" borderId="0" xfId="0" quotePrefix="1" applyFont="1" applyAlignment="1">
      <alignment horizontal="center"/>
    </xf>
    <xf numFmtId="0" fontId="4" fillId="0" borderId="14" xfId="0" quotePrefix="1" applyFont="1" applyBorder="1" applyProtection="1"/>
    <xf numFmtId="172" fontId="4" fillId="0" borderId="0" xfId="0" applyNumberFormat="1" applyFont="1" applyAlignment="1">
      <alignment horizontal="center"/>
    </xf>
    <xf numFmtId="170" fontId="4" fillId="0" borderId="0" xfId="0" applyNumberFormat="1" applyFont="1"/>
    <xf numFmtId="9" fontId="4" fillId="0" borderId="0" xfId="3" applyFont="1"/>
    <xf numFmtId="0" fontId="9" fillId="0" borderId="8" xfId="0" applyFont="1" applyBorder="1" applyProtection="1"/>
    <xf numFmtId="0" fontId="12" fillId="4" borderId="3" xfId="0" applyFont="1" applyFill="1" applyBorder="1" applyAlignment="1" applyProtection="1">
      <alignment horizontal="center"/>
    </xf>
    <xf numFmtId="173" fontId="4" fillId="0" borderId="0" xfId="0" applyNumberFormat="1" applyFont="1"/>
    <xf numFmtId="2" fontId="4" fillId="0" borderId="0" xfId="0" applyNumberFormat="1" applyFont="1" applyAlignment="1">
      <alignment horizontal="center"/>
    </xf>
    <xf numFmtId="168" fontId="4" fillId="2" borderId="0" xfId="0" applyNumberFormat="1" applyFont="1" applyFill="1"/>
    <xf numFmtId="174" fontId="4" fillId="2" borderId="0" xfId="0" applyNumberFormat="1" applyFont="1" applyFill="1"/>
    <xf numFmtId="0" fontId="9" fillId="0" borderId="0" xfId="0" applyFont="1" applyFill="1" applyProtection="1"/>
    <xf numFmtId="0" fontId="9" fillId="0" borderId="10" xfId="0" applyFont="1" applyFill="1" applyBorder="1" applyAlignment="1" applyProtection="1">
      <alignment horizontal="center"/>
    </xf>
    <xf numFmtId="0" fontId="4" fillId="0" borderId="0" xfId="0" applyFont="1" applyFill="1" applyAlignment="1" applyProtection="1"/>
    <xf numFmtId="0" fontId="0" fillId="0" borderId="0" xfId="0" applyFill="1" applyAlignment="1"/>
    <xf numFmtId="0" fontId="4" fillId="0" borderId="0" xfId="0" applyFont="1" applyFill="1" applyBorder="1" applyProtection="1"/>
    <xf numFmtId="44" fontId="11" fillId="0" borderId="0" xfId="2" applyFont="1" applyFill="1" applyBorder="1" applyProtection="1"/>
    <xf numFmtId="5" fontId="4" fillId="0" borderId="0" xfId="2" applyNumberFormat="1" applyFont="1" applyFill="1" applyAlignment="1"/>
    <xf numFmtId="5" fontId="4" fillId="0" borderId="0" xfId="0" applyNumberFormat="1" applyFont="1" applyFill="1"/>
    <xf numFmtId="0" fontId="13" fillId="0" borderId="0" xfId="0" applyNumberFormat="1" applyFont="1" applyFill="1" applyAlignment="1">
      <alignment horizontal="centerContinuous"/>
    </xf>
    <xf numFmtId="0" fontId="14" fillId="0" borderId="0" xfId="0" applyNumberFormat="1" applyFont="1" applyFill="1" applyAlignment="1">
      <alignment horizontal="centerContinuous"/>
    </xf>
    <xf numFmtId="0" fontId="11" fillId="0" borderId="3" xfId="0" quotePrefix="1" applyFont="1" applyBorder="1" applyAlignment="1" applyProtection="1">
      <alignment vertical="center"/>
    </xf>
    <xf numFmtId="0" fontId="0" fillId="0" borderId="6" xfId="0" applyBorder="1" applyAlignment="1">
      <alignment vertical="center"/>
    </xf>
    <xf numFmtId="0" fontId="11" fillId="0" borderId="4" xfId="0" applyFont="1" applyBorder="1" applyAlignment="1" applyProtection="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11" fillId="0" borderId="4" xfId="0" applyFont="1" applyBorder="1" applyAlignment="1" applyProtection="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170" fontId="11" fillId="0" borderId="9" xfId="2" applyNumberFormat="1" applyFont="1" applyBorder="1" applyAlignment="1" applyProtection="1">
      <alignment horizontal="center" vertical="center"/>
    </xf>
    <xf numFmtId="0" fontId="0" fillId="0" borderId="11" xfId="0" applyBorder="1" applyAlignment="1">
      <alignment horizontal="center" vertical="center"/>
    </xf>
    <xf numFmtId="175" fontId="5" fillId="2" borderId="9" xfId="3" applyNumberFormat="1" applyFont="1" applyFill="1" applyBorder="1" applyAlignment="1" applyProtection="1">
      <alignment horizontal="center" vertical="center"/>
      <protection locked="0"/>
    </xf>
    <xf numFmtId="175" fontId="4" fillId="2" borderId="11" xfId="0" applyNumberFormat="1" applyFont="1" applyFill="1" applyBorder="1" applyAlignment="1" applyProtection="1">
      <alignment horizontal="center" vertical="center"/>
      <protection locked="0"/>
    </xf>
    <xf numFmtId="0" fontId="10" fillId="0" borderId="0" xfId="0" applyFont="1" applyAlignment="1">
      <alignment horizontal="justify" wrapText="1"/>
    </xf>
    <xf numFmtId="0" fontId="5" fillId="2" borderId="9"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169" fontId="5" fillId="2" borderId="9" xfId="1" applyNumberFormat="1" applyFont="1" applyFill="1" applyBorder="1" applyAlignment="1" applyProtection="1">
      <alignment horizontal="center" vertical="center"/>
      <protection locked="0"/>
    </xf>
    <xf numFmtId="169" fontId="4" fillId="2" borderId="11" xfId="0" applyNumberFormat="1" applyFont="1" applyFill="1" applyBorder="1" applyAlignment="1" applyProtection="1">
      <alignment horizontal="center" vertical="center"/>
      <protection locked="0"/>
    </xf>
    <xf numFmtId="0" fontId="4" fillId="0" borderId="3" xfId="0" quotePrefix="1" applyFont="1" applyBorder="1" applyAlignment="1" applyProtection="1">
      <alignment vertical="center"/>
    </xf>
    <xf numFmtId="0" fontId="4" fillId="0" borderId="4" xfId="0" quotePrefix="1" applyFont="1" applyBorder="1" applyAlignment="1" applyProtection="1">
      <alignment horizontal="justify" wrapText="1"/>
    </xf>
    <xf numFmtId="0" fontId="0" fillId="0" borderId="7" xfId="0" applyBorder="1" applyAlignment="1">
      <alignment horizontal="justify" wrapText="1"/>
    </xf>
    <xf numFmtId="0" fontId="4" fillId="0" borderId="7" xfId="0" quotePrefix="1" applyFont="1" applyBorder="1" applyAlignment="1" applyProtection="1">
      <alignment horizontal="justify" wrapText="1"/>
    </xf>
    <xf numFmtId="0" fontId="4" fillId="0" borderId="0" xfId="0" applyFont="1" applyBorder="1" applyAlignment="1" applyProtection="1">
      <alignment horizontal="justify" wrapText="1"/>
    </xf>
    <xf numFmtId="0" fontId="0" fillId="0" borderId="0" xfId="0" applyAlignment="1">
      <alignment horizontal="justify" wrapText="1"/>
    </xf>
    <xf numFmtId="0" fontId="9" fillId="0" borderId="1" xfId="0" applyFont="1" applyBorder="1" applyAlignment="1" applyProtection="1">
      <alignment horizontal="justify" wrapText="1"/>
    </xf>
    <xf numFmtId="0" fontId="0" fillId="0" borderId="1" xfId="0" applyBorder="1" applyAlignment="1">
      <alignment horizontal="justify" wrapText="1"/>
    </xf>
    <xf numFmtId="5" fontId="11" fillId="0" borderId="9" xfId="2" applyNumberFormat="1" applyFont="1" applyBorder="1" applyAlignment="1" applyProtection="1">
      <alignment horizontal="center" vertical="center"/>
    </xf>
    <xf numFmtId="5" fontId="0" fillId="0" borderId="11" xfId="0" applyNumberForma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
  <sheetViews>
    <sheetView tabSelected="1" zoomScaleNormal="100" zoomScaleSheetLayoutView="100" workbookViewId="0">
      <selection activeCell="E22" sqref="E22:E23"/>
    </sheetView>
  </sheetViews>
  <sheetFormatPr defaultRowHeight="12.75" x14ac:dyDescent="0.2"/>
  <cols>
    <col min="1" max="1" width="3.7109375" style="9" customWidth="1"/>
    <col min="2" max="2" width="62.140625" style="9" customWidth="1"/>
    <col min="3" max="3" width="22.7109375" style="9" customWidth="1"/>
    <col min="4" max="4" width="24.140625" style="9" customWidth="1"/>
    <col min="5" max="5" width="21.85546875" style="9" customWidth="1"/>
    <col min="6" max="6" width="20.28515625" style="9" customWidth="1"/>
    <col min="7" max="7" width="9.140625" style="9"/>
    <col min="8" max="8" width="0" style="9" hidden="1" customWidth="1"/>
    <col min="9" max="16384" width="9.140625" style="9"/>
  </cols>
  <sheetData>
    <row r="1" spans="1:20" ht="18.75" x14ac:dyDescent="0.3">
      <c r="A1" s="71" t="s">
        <v>166</v>
      </c>
      <c r="B1" s="71"/>
      <c r="C1" s="72"/>
      <c r="D1" s="72"/>
      <c r="E1" s="72"/>
      <c r="F1" s="41"/>
    </row>
    <row r="2" spans="1:20" x14ac:dyDescent="0.2">
      <c r="A2" s="41"/>
      <c r="B2" s="41"/>
      <c r="C2" s="41"/>
      <c r="D2" s="41"/>
      <c r="E2" s="41"/>
      <c r="F2" s="41"/>
    </row>
    <row r="3" spans="1:20" ht="12.75" customHeight="1" x14ac:dyDescent="0.2">
      <c r="A3" s="117" t="str">
        <f>H3&amp;H4&amp;H5</f>
        <v>This spreadsheet gives you a way to try different scenarios to help you evaluate how your decision to elect Option A or Option B would affect your benefits when you retire or leave RSU. Try changing your assumptions, such as the age you leave RSU or the annual investment return to see how those differences will affect your benefits.</v>
      </c>
      <c r="B3" s="117"/>
      <c r="C3" s="117"/>
      <c r="D3" s="117"/>
      <c r="E3" s="117"/>
      <c r="F3" s="41"/>
      <c r="H3" s="42" t="s">
        <v>12</v>
      </c>
    </row>
    <row r="4" spans="1:20" s="10" customFormat="1" ht="15.75" x14ac:dyDescent="0.25">
      <c r="A4" s="117"/>
      <c r="B4" s="117"/>
      <c r="C4" s="117"/>
      <c r="D4" s="117"/>
      <c r="E4" s="117"/>
      <c r="F4" s="43"/>
      <c r="G4" s="44"/>
      <c r="H4" s="91" t="s">
        <v>177</v>
      </c>
      <c r="I4" s="24"/>
      <c r="J4" s="24"/>
      <c r="K4" s="24"/>
      <c r="L4" s="24"/>
      <c r="M4" s="24"/>
      <c r="N4" s="24"/>
      <c r="O4" s="24"/>
      <c r="P4" s="24"/>
      <c r="Q4" s="24"/>
      <c r="R4" s="24"/>
      <c r="S4" s="24"/>
      <c r="T4" s="24"/>
    </row>
    <row r="5" spans="1:20" s="10" customFormat="1" ht="15.75" x14ac:dyDescent="0.25">
      <c r="A5" s="117"/>
      <c r="B5" s="117"/>
      <c r="C5" s="117"/>
      <c r="D5" s="117"/>
      <c r="E5" s="117"/>
      <c r="F5" s="43"/>
      <c r="G5" s="44"/>
      <c r="H5" s="91" t="s">
        <v>171</v>
      </c>
      <c r="I5" s="24"/>
      <c r="J5" s="24"/>
      <c r="K5" s="24"/>
      <c r="L5" s="24"/>
      <c r="M5" s="24"/>
      <c r="N5" s="24"/>
      <c r="O5" s="24"/>
      <c r="P5" s="24"/>
      <c r="Q5" s="24"/>
      <c r="R5" s="24"/>
      <c r="S5" s="24"/>
      <c r="T5" s="24"/>
    </row>
    <row r="6" spans="1:20" s="10" customFormat="1" ht="15.75" x14ac:dyDescent="0.25">
      <c r="A6" s="43"/>
      <c r="B6" s="43"/>
      <c r="C6" s="45"/>
      <c r="D6" s="45"/>
      <c r="E6" s="45"/>
      <c r="F6" s="43"/>
      <c r="G6" s="44"/>
    </row>
    <row r="7" spans="1:20" s="10" customFormat="1" ht="15.75" customHeight="1" x14ac:dyDescent="0.25">
      <c r="A7" s="117" t="str">
        <f>H7&amp;H8</f>
        <v>It is also important to carefully read the Retirement Plan Decision Guide to be sure you understand the considerations for choosing Option A or Option B -- so that you can make an informed decision about which track is best for you.</v>
      </c>
      <c r="B7" s="117"/>
      <c r="C7" s="117"/>
      <c r="D7" s="117"/>
      <c r="E7" s="117"/>
      <c r="F7" s="43"/>
      <c r="G7" s="44"/>
      <c r="H7" s="43" t="s">
        <v>13</v>
      </c>
    </row>
    <row r="8" spans="1:20" s="10" customFormat="1" ht="15.75" x14ac:dyDescent="0.25">
      <c r="A8" s="117"/>
      <c r="B8" s="117"/>
      <c r="C8" s="117"/>
      <c r="D8" s="117"/>
      <c r="E8" s="117"/>
      <c r="F8" s="43"/>
      <c r="G8" s="44"/>
      <c r="H8" s="43" t="s">
        <v>97</v>
      </c>
    </row>
    <row r="9" spans="1:20" s="10" customFormat="1" ht="15.75" x14ac:dyDescent="0.25">
      <c r="A9" s="43"/>
      <c r="B9" s="43"/>
      <c r="C9" s="45"/>
      <c r="D9" s="45"/>
      <c r="E9" s="45"/>
      <c r="F9" s="43"/>
      <c r="G9" s="44"/>
    </row>
    <row r="10" spans="1:20" s="10" customFormat="1" ht="15.75" x14ac:dyDescent="0.25">
      <c r="A10" s="43" t="s">
        <v>123</v>
      </c>
      <c r="B10" s="43"/>
      <c r="C10" s="45"/>
      <c r="D10" s="45"/>
      <c r="E10" s="45"/>
      <c r="F10" s="43"/>
      <c r="G10" s="44"/>
      <c r="H10" s="43" t="s">
        <v>123</v>
      </c>
    </row>
    <row r="11" spans="1:20" s="10" customFormat="1" ht="15.75" x14ac:dyDescent="0.25">
      <c r="A11" s="43" t="s">
        <v>124</v>
      </c>
      <c r="B11" s="43"/>
      <c r="C11" s="45"/>
      <c r="D11" s="45"/>
      <c r="E11" s="45"/>
      <c r="F11" s="43"/>
      <c r="G11" s="44"/>
      <c r="H11" s="43" t="s">
        <v>178</v>
      </c>
    </row>
    <row r="12" spans="1:20" s="10" customFormat="1" ht="15.75" x14ac:dyDescent="0.25">
      <c r="A12" s="43"/>
      <c r="B12" s="43"/>
      <c r="C12" s="45"/>
      <c r="D12" s="45"/>
      <c r="E12" s="45"/>
      <c r="F12" s="43"/>
      <c r="G12" s="44"/>
    </row>
    <row r="13" spans="1:20" s="10" customFormat="1" ht="15.75" x14ac:dyDescent="0.25">
      <c r="A13" s="43" t="s">
        <v>143</v>
      </c>
      <c r="B13" s="43"/>
      <c r="C13" s="45"/>
      <c r="D13" s="45"/>
      <c r="E13" s="45"/>
      <c r="F13" s="43"/>
      <c r="G13" s="44"/>
    </row>
    <row r="14" spans="1:20" s="10" customFormat="1" ht="15.75" x14ac:dyDescent="0.25">
      <c r="A14" s="43" t="s">
        <v>141</v>
      </c>
      <c r="B14" s="43"/>
      <c r="C14" s="45"/>
      <c r="D14" s="45"/>
      <c r="E14" s="45"/>
      <c r="F14" s="43"/>
      <c r="G14" s="44"/>
    </row>
    <row r="15" spans="1:20" s="10" customFormat="1" ht="15.75" x14ac:dyDescent="0.25">
      <c r="A15" s="43"/>
      <c r="B15" s="43"/>
      <c r="C15" s="45"/>
      <c r="D15" s="45"/>
      <c r="E15" s="45"/>
      <c r="F15" s="43"/>
      <c r="G15" s="44"/>
    </row>
    <row r="16" spans="1:20" s="10" customFormat="1" ht="15.75" x14ac:dyDescent="0.25">
      <c r="A16" s="91" t="s">
        <v>172</v>
      </c>
      <c r="B16" s="91"/>
      <c r="C16" s="46"/>
      <c r="D16" s="46"/>
      <c r="E16" s="46"/>
      <c r="F16" s="45"/>
    </row>
    <row r="17" spans="1:8" s="10" customFormat="1" ht="16.5" thickBot="1" x14ac:dyDescent="0.3">
      <c r="A17" s="43"/>
      <c r="B17" s="43"/>
      <c r="C17" s="45"/>
      <c r="D17" s="45"/>
      <c r="E17" s="45"/>
      <c r="F17" s="45"/>
    </row>
    <row r="18" spans="1:8" s="10" customFormat="1" ht="15.75" x14ac:dyDescent="0.25">
      <c r="A18" s="47" t="s">
        <v>8</v>
      </c>
      <c r="B18" s="48"/>
      <c r="C18" s="48"/>
      <c r="D18" s="48"/>
      <c r="E18" s="73" t="s">
        <v>9</v>
      </c>
      <c r="F18" s="45"/>
    </row>
    <row r="19" spans="1:8" s="10" customFormat="1" ht="16.5" thickBot="1" x14ac:dyDescent="0.3">
      <c r="A19" s="49"/>
      <c r="B19" s="50"/>
      <c r="C19" s="50"/>
      <c r="D19" s="50"/>
      <c r="E19" s="74" t="s">
        <v>10</v>
      </c>
      <c r="F19" s="45"/>
    </row>
    <row r="20" spans="1:8" s="10" customFormat="1" ht="15.75" x14ac:dyDescent="0.25">
      <c r="A20" s="101" t="s">
        <v>37</v>
      </c>
      <c r="B20" s="103" t="s">
        <v>168</v>
      </c>
      <c r="C20" s="104"/>
      <c r="D20" s="105"/>
      <c r="E20" s="118">
        <v>20</v>
      </c>
      <c r="F20" s="45"/>
    </row>
    <row r="21" spans="1:8" s="10" customFormat="1" ht="16.5" thickBot="1" x14ac:dyDescent="0.3">
      <c r="A21" s="102"/>
      <c r="B21" s="106"/>
      <c r="C21" s="106"/>
      <c r="D21" s="107"/>
      <c r="E21" s="119"/>
      <c r="F21" s="45"/>
    </row>
    <row r="22" spans="1:8" s="10" customFormat="1" ht="15.75" x14ac:dyDescent="0.25">
      <c r="A22" s="101" t="s">
        <v>38</v>
      </c>
      <c r="B22" s="103" t="s">
        <v>169</v>
      </c>
      <c r="C22" s="104"/>
      <c r="D22" s="105"/>
      <c r="E22" s="118">
        <v>65</v>
      </c>
      <c r="F22" s="45"/>
    </row>
    <row r="23" spans="1:8" s="10" customFormat="1" ht="16.5" thickBot="1" x14ac:dyDescent="0.3">
      <c r="A23" s="102"/>
      <c r="B23" s="106"/>
      <c r="C23" s="106"/>
      <c r="D23" s="107"/>
      <c r="E23" s="119"/>
      <c r="F23" s="45"/>
    </row>
    <row r="24" spans="1:8" s="10" customFormat="1" ht="15.75" x14ac:dyDescent="0.25">
      <c r="A24" s="101" t="s">
        <v>39</v>
      </c>
      <c r="B24" s="103" t="s">
        <v>170</v>
      </c>
      <c r="C24" s="104"/>
      <c r="D24" s="105"/>
      <c r="E24" s="120">
        <v>30000</v>
      </c>
      <c r="F24" s="45"/>
      <c r="H24" s="16"/>
    </row>
    <row r="25" spans="1:8" s="10" customFormat="1" ht="16.5" thickBot="1" x14ac:dyDescent="0.3">
      <c r="A25" s="102"/>
      <c r="B25" s="106"/>
      <c r="C25" s="106"/>
      <c r="D25" s="107"/>
      <c r="E25" s="121"/>
      <c r="F25" s="45"/>
    </row>
    <row r="26" spans="1:8" s="10" customFormat="1" ht="15.75" x14ac:dyDescent="0.25">
      <c r="A26" s="101" t="s">
        <v>40</v>
      </c>
      <c r="B26" s="108" t="s">
        <v>163</v>
      </c>
      <c r="C26" s="109"/>
      <c r="D26" s="110"/>
      <c r="E26" s="115">
        <v>0</v>
      </c>
      <c r="F26" s="51"/>
    </row>
    <row r="27" spans="1:8" s="10" customFormat="1" ht="16.5" thickBot="1" x14ac:dyDescent="0.3">
      <c r="A27" s="102"/>
      <c r="B27" s="111"/>
      <c r="C27" s="111"/>
      <c r="D27" s="112"/>
      <c r="E27" s="116"/>
      <c r="F27" s="45"/>
    </row>
    <row r="28" spans="1:8" s="10" customFormat="1" ht="15.75" x14ac:dyDescent="0.25">
      <c r="A28" s="101" t="s">
        <v>41</v>
      </c>
      <c r="B28" s="103" t="s">
        <v>98</v>
      </c>
      <c r="C28" s="104"/>
      <c r="D28" s="105"/>
      <c r="E28" s="115">
        <v>0.01</v>
      </c>
      <c r="F28" s="45"/>
    </row>
    <row r="29" spans="1:8" s="10" customFormat="1" ht="16.5" thickBot="1" x14ac:dyDescent="0.3">
      <c r="A29" s="102"/>
      <c r="B29" s="106"/>
      <c r="C29" s="106"/>
      <c r="D29" s="107"/>
      <c r="E29" s="116"/>
      <c r="F29" s="45"/>
    </row>
    <row r="30" spans="1:8" s="10" customFormat="1" ht="15.75" x14ac:dyDescent="0.25">
      <c r="A30" s="101" t="s">
        <v>42</v>
      </c>
      <c r="B30" s="103" t="s">
        <v>99</v>
      </c>
      <c r="C30" s="104"/>
      <c r="D30" s="105"/>
      <c r="E30" s="115">
        <v>0.05</v>
      </c>
      <c r="F30" s="45"/>
    </row>
    <row r="31" spans="1:8" s="10" customFormat="1" ht="16.5" thickBot="1" x14ac:dyDescent="0.3">
      <c r="A31" s="102"/>
      <c r="B31" s="106"/>
      <c r="C31" s="106"/>
      <c r="D31" s="107"/>
      <c r="E31" s="116"/>
      <c r="F31" s="45"/>
    </row>
    <row r="32" spans="1:8" s="10" customFormat="1" ht="15.75" x14ac:dyDescent="0.25">
      <c r="A32" s="52"/>
      <c r="B32" s="53"/>
      <c r="C32" s="86" t="s">
        <v>43</v>
      </c>
      <c r="D32" s="86" t="s">
        <v>44</v>
      </c>
      <c r="E32" s="86" t="s">
        <v>122</v>
      </c>
    </row>
    <row r="33" spans="1:11" s="10" customFormat="1" ht="15.75" x14ac:dyDescent="0.25">
      <c r="A33" s="54"/>
      <c r="B33" s="55"/>
      <c r="C33" s="77" t="s">
        <v>94</v>
      </c>
      <c r="D33" s="56" t="s">
        <v>96</v>
      </c>
      <c r="E33" s="56" t="s">
        <v>158</v>
      </c>
    </row>
    <row r="34" spans="1:11" s="10" customFormat="1" ht="15.75" x14ac:dyDescent="0.25">
      <c r="A34" s="57"/>
      <c r="B34" s="128" t="s">
        <v>149</v>
      </c>
      <c r="C34" s="77" t="s">
        <v>95</v>
      </c>
      <c r="D34" s="56" t="str">
        <f>"Plan with "&amp;TEXT(Calculation!H10,"##%")</f>
        <v>Plan with 9%</v>
      </c>
      <c r="E34" s="56" t="s">
        <v>159</v>
      </c>
      <c r="G34" s="58"/>
    </row>
    <row r="35" spans="1:11" s="10" customFormat="1" ht="15.75" x14ac:dyDescent="0.25">
      <c r="A35" s="57"/>
      <c r="B35" s="129"/>
      <c r="C35" s="78" t="s">
        <v>107</v>
      </c>
      <c r="D35" s="92" t="s">
        <v>167</v>
      </c>
      <c r="E35" s="56" t="s">
        <v>160</v>
      </c>
      <c r="G35" s="58"/>
    </row>
    <row r="36" spans="1:11" s="10" customFormat="1" ht="15.75" x14ac:dyDescent="0.25">
      <c r="A36" s="85"/>
      <c r="B36" s="129"/>
      <c r="C36" s="76" t="s">
        <v>108</v>
      </c>
      <c r="D36" s="56" t="s">
        <v>137</v>
      </c>
      <c r="E36" s="56" t="s">
        <v>85</v>
      </c>
      <c r="G36" s="60"/>
    </row>
    <row r="37" spans="1:11" s="10" customFormat="1" ht="15.75" x14ac:dyDescent="0.25">
      <c r="A37" s="85"/>
      <c r="B37" s="129"/>
      <c r="C37" s="76" t="s">
        <v>136</v>
      </c>
      <c r="D37" s="56" t="s">
        <v>138</v>
      </c>
      <c r="E37" s="56" t="s">
        <v>164</v>
      </c>
      <c r="G37" s="60"/>
    </row>
    <row r="38" spans="1:11" s="10" customFormat="1" ht="16.5" thickBot="1" x14ac:dyDescent="0.3">
      <c r="A38" s="59"/>
      <c r="B38" s="60"/>
      <c r="C38" s="76" t="s">
        <v>80</v>
      </c>
      <c r="D38" s="61" t="s">
        <v>139</v>
      </c>
      <c r="E38" s="61" t="s">
        <v>144</v>
      </c>
    </row>
    <row r="39" spans="1:11" s="10" customFormat="1" ht="15.75" x14ac:dyDescent="0.25">
      <c r="A39" s="122" t="s">
        <v>37</v>
      </c>
      <c r="B39" s="123" t="str">
        <f>"Estimated annual benefit accrued at age "&amp;E22&amp;" but payable at age 65 or later"</f>
        <v>Estimated annual benefit accrued at age 65 but payable at age 65 or later</v>
      </c>
      <c r="C39" s="113">
        <f>ROUND(VLOOKUP($E$22,Calculation!$D$36:$AK$87,10),0)</f>
        <v>49964</v>
      </c>
      <c r="D39" s="113">
        <f>VLOOKUP($E$22,Calculation!$D$36:$AK$87,8)</f>
        <v>54934</v>
      </c>
      <c r="E39" s="113">
        <f>VLOOKUP($E$22,Calculation!$D$36:$AK$87,8)+VLOOKUP($E$22,Calculation!$D$36:$AK$87,24)</f>
        <v>54934</v>
      </c>
      <c r="I39" s="83"/>
      <c r="J39" s="83"/>
      <c r="K39" s="83"/>
    </row>
    <row r="40" spans="1:11" s="10" customFormat="1" ht="16.5" thickBot="1" x14ac:dyDescent="0.3">
      <c r="A40" s="102"/>
      <c r="B40" s="124"/>
      <c r="C40" s="114"/>
      <c r="D40" s="114"/>
      <c r="E40" s="114"/>
      <c r="I40" s="83"/>
      <c r="J40" s="83"/>
      <c r="K40" s="83"/>
    </row>
    <row r="41" spans="1:11" s="10" customFormat="1" ht="16.5" thickBot="1" x14ac:dyDescent="0.3">
      <c r="A41" s="62" t="s">
        <v>38</v>
      </c>
      <c r="B41" s="81" t="s">
        <v>148</v>
      </c>
      <c r="C41" s="70">
        <f>ROUND(VLOOKUP($E$22,Calculation!$D$36:$AK$87,11),0)</f>
        <v>589246</v>
      </c>
      <c r="D41" s="70">
        <f>VLOOKUP($E$22,Calculation!$D$36:$AK$87,7)</f>
        <v>647856</v>
      </c>
      <c r="E41" s="70">
        <f>VLOOKUP($E$22,Calculation!$D$36:$AK$87,7)+VLOOKUP($E$22,Calculation!$D$36:$AK$87,23)</f>
        <v>647856</v>
      </c>
      <c r="I41" s="84"/>
      <c r="J41" s="83"/>
      <c r="K41" s="83"/>
    </row>
    <row r="42" spans="1:11" s="10" customFormat="1" ht="15.75" x14ac:dyDescent="0.25">
      <c r="A42" s="122" t="s">
        <v>39</v>
      </c>
      <c r="B42" s="123" t="s">
        <v>150</v>
      </c>
      <c r="C42" s="130">
        <f>(IF($E$22&lt;60,"N/A",IF($E$22-$E$20&lt;5,"N/A",VLOOKUP($E$22,Calculation!$AF$41:$AK$63,4))))</f>
        <v>49964</v>
      </c>
      <c r="D42" s="113">
        <f>VLOOKUP($E$22,Calculation!$D$36:$AK$87,8)</f>
        <v>54934</v>
      </c>
      <c r="E42" s="113">
        <f>VLOOKUP($E$22,Calculation!$D$36:$AK$87,8)+VLOOKUP($E$22,Calculation!$D$36:$AK$87,24)</f>
        <v>54934</v>
      </c>
      <c r="I42" s="83"/>
      <c r="J42" s="83"/>
      <c r="K42" s="83"/>
    </row>
    <row r="43" spans="1:11" s="10" customFormat="1" ht="16.5" thickBot="1" x14ac:dyDescent="0.3">
      <c r="A43" s="102"/>
      <c r="B43" s="124"/>
      <c r="C43" s="131"/>
      <c r="D43" s="114"/>
      <c r="E43" s="114"/>
      <c r="I43" s="83"/>
      <c r="J43" s="83"/>
      <c r="K43" s="83"/>
    </row>
    <row r="44" spans="1:11" s="10" customFormat="1" ht="15.75" customHeight="1" x14ac:dyDescent="0.25">
      <c r="A44" s="122" t="s">
        <v>40</v>
      </c>
      <c r="B44" s="123" t="s">
        <v>147</v>
      </c>
      <c r="C44" s="113">
        <f>IF($E$22&lt;60,"N/A",IF($E$22-$E$20&lt;5,"N/A",VLOOKUP($E$22,Calculation!$AF$41:$AK$63,6)))</f>
        <v>589245.91373014695</v>
      </c>
      <c r="D44" s="113">
        <f>VLOOKUP($E$22,Calculation!$D$36:$AK$87,7)</f>
        <v>647856</v>
      </c>
      <c r="E44" s="113">
        <f>VLOOKUP($E$22,Calculation!$D$36:$AK$87,7)+VLOOKUP($E$22,Calculation!$D$36:$AK$87,23)</f>
        <v>647856</v>
      </c>
      <c r="I44" s="83"/>
      <c r="J44" s="83"/>
      <c r="K44" s="83"/>
    </row>
    <row r="45" spans="1:11" s="10" customFormat="1" ht="16.5" thickBot="1" x14ac:dyDescent="0.3">
      <c r="A45" s="102"/>
      <c r="B45" s="125"/>
      <c r="C45" s="114"/>
      <c r="D45" s="114"/>
      <c r="E45" s="114"/>
      <c r="I45" s="83"/>
      <c r="J45" s="83"/>
      <c r="K45" s="83"/>
    </row>
    <row r="46" spans="1:11" s="10" customFormat="1" ht="15.75" x14ac:dyDescent="0.25">
      <c r="A46" s="122" t="s">
        <v>41</v>
      </c>
      <c r="B46" s="123" t="s">
        <v>135</v>
      </c>
      <c r="C46" s="113">
        <f>ROUND(VLOOKUP($E$22,Calculation!D36:AK86,17),0)</f>
        <v>1109038</v>
      </c>
      <c r="D46" s="113">
        <f>VLOOKUP($E$22,Calculation!$D$36:$AK$87,7)</f>
        <v>647856</v>
      </c>
      <c r="E46" s="113">
        <f>VLOOKUP($E$22,Calculation!$D$36:$AK$87,7)+VLOOKUP($E$22,Calculation!$D$36:$AK$87,23)</f>
        <v>647856</v>
      </c>
      <c r="I46" s="83"/>
      <c r="J46" s="83"/>
      <c r="K46" s="83"/>
    </row>
    <row r="47" spans="1:11" s="10" customFormat="1" ht="16.5" thickBot="1" x14ac:dyDescent="0.3">
      <c r="A47" s="102"/>
      <c r="B47" s="125"/>
      <c r="C47" s="114"/>
      <c r="D47" s="114"/>
      <c r="E47" s="114"/>
      <c r="I47" s="83"/>
      <c r="J47" s="83"/>
      <c r="K47" s="83"/>
    </row>
    <row r="48" spans="1:11" s="10" customFormat="1" ht="15.75" x14ac:dyDescent="0.25">
      <c r="B48" s="64"/>
      <c r="C48" s="65"/>
      <c r="D48" s="63"/>
      <c r="E48" s="45"/>
      <c r="F48" s="45"/>
    </row>
    <row r="49" spans="1:8" s="10" customFormat="1" ht="15.75" x14ac:dyDescent="0.25">
      <c r="A49" s="64" t="s">
        <v>11</v>
      </c>
      <c r="B49" s="63"/>
      <c r="C49" s="65"/>
      <c r="D49" s="63"/>
      <c r="E49" s="45"/>
      <c r="F49" s="45"/>
    </row>
    <row r="50" spans="1:8" s="10" customFormat="1" ht="15.75" x14ac:dyDescent="0.25">
      <c r="A50" s="64" t="s">
        <v>100</v>
      </c>
      <c r="B50" s="126" t="s">
        <v>142</v>
      </c>
      <c r="C50" s="127"/>
      <c r="D50" s="127"/>
      <c r="E50" s="127"/>
      <c r="F50" s="45"/>
    </row>
    <row r="51" spans="1:8" s="10" customFormat="1" ht="15.75" customHeight="1" x14ac:dyDescent="0.25">
      <c r="A51" s="64"/>
      <c r="B51" s="127"/>
      <c r="C51" s="127"/>
      <c r="D51" s="127"/>
      <c r="E51" s="127"/>
      <c r="F51" s="45"/>
      <c r="H51" s="11"/>
    </row>
    <row r="52" spans="1:8" s="10" customFormat="1" ht="9.75" customHeight="1" x14ac:dyDescent="0.25">
      <c r="A52" s="64"/>
      <c r="B52" s="63"/>
      <c r="C52" s="65"/>
      <c r="D52" s="63"/>
      <c r="E52" s="45"/>
      <c r="F52" s="45"/>
      <c r="H52" s="11"/>
    </row>
    <row r="53" spans="1:8" s="10" customFormat="1" ht="15.75" x14ac:dyDescent="0.25">
      <c r="A53" s="10" t="s">
        <v>101</v>
      </c>
      <c r="B53" s="126" t="s">
        <v>173</v>
      </c>
      <c r="C53" s="127"/>
      <c r="D53" s="127"/>
      <c r="E53" s="127"/>
      <c r="F53" s="45"/>
    </row>
    <row r="54" spans="1:8" s="10" customFormat="1" ht="15.75" x14ac:dyDescent="0.25">
      <c r="A54" s="45"/>
      <c r="B54" s="127"/>
      <c r="C54" s="127"/>
      <c r="D54" s="127"/>
      <c r="E54" s="127"/>
      <c r="F54" s="45"/>
    </row>
    <row r="55" spans="1:8" s="10" customFormat="1" ht="9.75" customHeight="1" x14ac:dyDescent="0.25">
      <c r="A55" s="64"/>
      <c r="B55" s="63"/>
      <c r="C55" s="65"/>
      <c r="D55" s="63"/>
      <c r="E55" s="45"/>
      <c r="F55" s="45"/>
      <c r="H55" s="11"/>
    </row>
    <row r="56" spans="1:8" s="10" customFormat="1" ht="15.75" customHeight="1" x14ac:dyDescent="0.25">
      <c r="A56" s="10" t="s">
        <v>102</v>
      </c>
      <c r="B56" s="126" t="s">
        <v>140</v>
      </c>
      <c r="C56" s="127"/>
      <c r="D56" s="127"/>
      <c r="E56" s="127"/>
      <c r="F56" s="45"/>
    </row>
    <row r="57" spans="1:8" s="10" customFormat="1" ht="15.75" x14ac:dyDescent="0.25">
      <c r="A57" s="45"/>
      <c r="B57" s="127"/>
      <c r="C57" s="127"/>
      <c r="D57" s="127"/>
      <c r="E57" s="127"/>
      <c r="F57" s="45"/>
    </row>
    <row r="58" spans="1:8" s="10" customFormat="1" ht="9.75" customHeight="1" x14ac:dyDescent="0.25">
      <c r="A58" s="64"/>
      <c r="B58" s="63"/>
      <c r="C58" s="65"/>
      <c r="D58" s="63"/>
      <c r="E58" s="45"/>
      <c r="F58" s="45"/>
      <c r="H58" s="11"/>
    </row>
    <row r="59" spans="1:8" s="10" customFormat="1" ht="15.75" customHeight="1" x14ac:dyDescent="0.25">
      <c r="A59" s="45" t="s">
        <v>103</v>
      </c>
      <c r="B59" s="93" t="s">
        <v>174</v>
      </c>
      <c r="C59" s="94"/>
      <c r="D59" s="94"/>
      <c r="E59" s="46"/>
      <c r="F59" s="45"/>
    </row>
    <row r="60" spans="1:8" s="10" customFormat="1" ht="9.75" customHeight="1" x14ac:dyDescent="0.25">
      <c r="A60" s="64"/>
      <c r="B60" s="95"/>
      <c r="C60" s="96"/>
      <c r="D60" s="95"/>
      <c r="E60" s="46"/>
      <c r="F60" s="45"/>
      <c r="H60" s="11"/>
    </row>
    <row r="61" spans="1:8" s="10" customFormat="1" ht="15.75" customHeight="1" x14ac:dyDescent="0.25">
      <c r="A61" s="10" t="s">
        <v>104</v>
      </c>
      <c r="B61" s="93" t="s">
        <v>175</v>
      </c>
      <c r="C61" s="94"/>
      <c r="D61" s="94"/>
      <c r="E61" s="46"/>
      <c r="F61" s="45"/>
    </row>
    <row r="62" spans="1:8" s="10" customFormat="1" ht="9.75" customHeight="1" x14ac:dyDescent="0.25">
      <c r="A62" s="64"/>
      <c r="B62" s="63"/>
      <c r="C62" s="65"/>
      <c r="D62" s="63"/>
      <c r="E62" s="45"/>
      <c r="F62" s="45"/>
      <c r="H62" s="11"/>
    </row>
    <row r="63" spans="1:8" s="10" customFormat="1" ht="15.75" customHeight="1" x14ac:dyDescent="0.25">
      <c r="A63" s="10" t="s">
        <v>106</v>
      </c>
      <c r="B63" s="126" t="s">
        <v>105</v>
      </c>
      <c r="C63" s="127"/>
      <c r="D63" s="127"/>
      <c r="E63" s="127"/>
      <c r="F63" s="45"/>
    </row>
    <row r="64" spans="1:8" s="10" customFormat="1" ht="15.75" customHeight="1" x14ac:dyDescent="0.25">
      <c r="A64" s="45"/>
      <c r="B64" s="127"/>
      <c r="C64" s="127"/>
      <c r="D64" s="127"/>
      <c r="E64" s="127"/>
      <c r="F64" s="45"/>
    </row>
    <row r="65" spans="1:8" s="10" customFormat="1" ht="9.75" customHeight="1" x14ac:dyDescent="0.25">
      <c r="A65" s="64"/>
      <c r="B65" s="63"/>
      <c r="C65" s="65"/>
      <c r="D65" s="63"/>
      <c r="E65" s="45"/>
      <c r="F65" s="45"/>
      <c r="H65" s="11"/>
    </row>
    <row r="66" spans="1:8" s="10" customFormat="1" ht="15.75" customHeight="1" x14ac:dyDescent="0.25">
      <c r="A66" s="10" t="s">
        <v>109</v>
      </c>
      <c r="B66" s="126" t="s">
        <v>165</v>
      </c>
      <c r="C66" s="127"/>
      <c r="D66" s="127"/>
      <c r="E66" s="127"/>
      <c r="F66" s="45"/>
    </row>
    <row r="67" spans="1:8" s="10" customFormat="1" ht="15.75" x14ac:dyDescent="0.25">
      <c r="A67" s="45"/>
      <c r="B67" s="127"/>
      <c r="C67" s="127"/>
      <c r="D67" s="127"/>
      <c r="E67" s="127"/>
      <c r="F67" s="45"/>
    </row>
    <row r="68" spans="1:8" s="10" customFormat="1" ht="15.75" x14ac:dyDescent="0.25">
      <c r="A68" s="45"/>
      <c r="B68" s="45"/>
      <c r="C68" s="45"/>
      <c r="D68" s="45"/>
      <c r="E68" s="45"/>
      <c r="F68" s="45"/>
    </row>
    <row r="69" spans="1:8" s="10" customFormat="1" ht="15.75" x14ac:dyDescent="0.25">
      <c r="A69" s="45"/>
      <c r="B69" s="45"/>
      <c r="C69" s="45"/>
      <c r="D69" s="45"/>
      <c r="E69" s="45"/>
      <c r="F69" s="45"/>
    </row>
    <row r="70" spans="1:8" s="10" customFormat="1" ht="15.75" x14ac:dyDescent="0.25">
      <c r="C70" s="45"/>
      <c r="D70" s="45"/>
      <c r="E70" s="45"/>
      <c r="F70" s="45"/>
    </row>
    <row r="71" spans="1:8" s="10" customFormat="1" ht="15.75" x14ac:dyDescent="0.25">
      <c r="A71" s="45"/>
      <c r="B71" s="45"/>
      <c r="C71" s="45"/>
      <c r="D71" s="45"/>
      <c r="E71" s="45"/>
      <c r="F71" s="45"/>
    </row>
    <row r="72" spans="1:8" s="10" customFormat="1" ht="15.75" x14ac:dyDescent="0.25">
      <c r="A72" s="45"/>
      <c r="B72" s="45"/>
      <c r="C72" s="45"/>
      <c r="D72" s="45"/>
      <c r="E72" s="45"/>
      <c r="F72" s="45"/>
    </row>
    <row r="73" spans="1:8" s="10" customFormat="1" ht="15.75" x14ac:dyDescent="0.25">
      <c r="A73" s="45"/>
      <c r="B73" s="45"/>
      <c r="C73" s="45"/>
      <c r="D73" s="45"/>
      <c r="E73" s="45"/>
      <c r="F73" s="45"/>
    </row>
    <row r="74" spans="1:8" s="10" customFormat="1" ht="15.75" x14ac:dyDescent="0.25">
      <c r="A74" s="45"/>
      <c r="B74" s="45"/>
      <c r="C74" s="45"/>
      <c r="D74" s="45"/>
      <c r="E74" s="45"/>
      <c r="F74" s="45"/>
    </row>
    <row r="75" spans="1:8" s="10" customFormat="1" ht="15.75" x14ac:dyDescent="0.25">
      <c r="A75" s="45"/>
      <c r="B75" s="45"/>
      <c r="C75" s="45"/>
      <c r="D75" s="45"/>
      <c r="E75" s="45"/>
      <c r="F75" s="45"/>
    </row>
    <row r="76" spans="1:8" s="10" customFormat="1" ht="15.75" x14ac:dyDescent="0.25">
      <c r="A76" s="45"/>
      <c r="B76" s="45"/>
      <c r="C76" s="45"/>
      <c r="D76" s="45"/>
      <c r="E76" s="45"/>
      <c r="F76" s="45"/>
    </row>
  </sheetData>
  <sheetProtection algorithmName="SHA-512" hashValue="+fuDg2CF9vKwGEdVj962GaD4S472ht+pRohlXh80eF2Snk+BbX4yddLSkIMEBHHFixbGGsmiQlB/sSq31syAiw==" saltValue="2UTuzFo3tilAVfw2qpoteQ==" spinCount="100000" sheet="1" objects="1" scenarios="1" selectLockedCells="1"/>
  <mergeCells count="46">
    <mergeCell ref="B66:E67"/>
    <mergeCell ref="B34:B37"/>
    <mergeCell ref="E46:E47"/>
    <mergeCell ref="B50:E51"/>
    <mergeCell ref="B53:E54"/>
    <mergeCell ref="B56:E57"/>
    <mergeCell ref="B63:E64"/>
    <mergeCell ref="E39:E40"/>
    <mergeCell ref="C42:C43"/>
    <mergeCell ref="D42:D43"/>
    <mergeCell ref="E42:E43"/>
    <mergeCell ref="C44:C45"/>
    <mergeCell ref="D44:D45"/>
    <mergeCell ref="E44:E45"/>
    <mergeCell ref="C39:C40"/>
    <mergeCell ref="D39:D40"/>
    <mergeCell ref="A39:A40"/>
    <mergeCell ref="A42:A43"/>
    <mergeCell ref="A44:A45"/>
    <mergeCell ref="A46:A47"/>
    <mergeCell ref="B39:B40"/>
    <mergeCell ref="B42:B43"/>
    <mergeCell ref="B44:B45"/>
    <mergeCell ref="B46:B47"/>
    <mergeCell ref="C46:C47"/>
    <mergeCell ref="D46:D47"/>
    <mergeCell ref="E28:E29"/>
    <mergeCell ref="E30:E31"/>
    <mergeCell ref="A3:E5"/>
    <mergeCell ref="A7:E8"/>
    <mergeCell ref="E20:E21"/>
    <mergeCell ref="E22:E23"/>
    <mergeCell ref="E24:E25"/>
    <mergeCell ref="E26:E27"/>
    <mergeCell ref="A20:A21"/>
    <mergeCell ref="B20:D21"/>
    <mergeCell ref="A22:A23"/>
    <mergeCell ref="A24:A25"/>
    <mergeCell ref="A26:A27"/>
    <mergeCell ref="A28:A29"/>
    <mergeCell ref="A30:A31"/>
    <mergeCell ref="B22:D23"/>
    <mergeCell ref="B24:D25"/>
    <mergeCell ref="B26:D27"/>
    <mergeCell ref="B28:D29"/>
    <mergeCell ref="B30:D31"/>
  </mergeCells>
  <phoneticPr fontId="0" type="noConversion"/>
  <printOptions horizontalCentered="1" verticalCentered="1"/>
  <pageMargins left="0.5" right="0.5" top="0.5" bottom="0.75" header="0.5" footer="0.5"/>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98"/>
  <sheetViews>
    <sheetView zoomScaleNormal="100" workbookViewId="0">
      <selection activeCell="E9" sqref="E9"/>
    </sheetView>
  </sheetViews>
  <sheetFormatPr defaultRowHeight="12.75" x14ac:dyDescent="0.2"/>
  <cols>
    <col min="3" max="3" width="10.42578125" customWidth="1"/>
    <col min="4" max="4" width="11" customWidth="1"/>
    <col min="5" max="5" width="10.28515625" bestFit="1" customWidth="1"/>
    <col min="6" max="6" width="11.28515625" bestFit="1" customWidth="1"/>
    <col min="7" max="7" width="14" bestFit="1" customWidth="1"/>
    <col min="8" max="8" width="12.28515625" bestFit="1" customWidth="1"/>
    <col min="9" max="9" width="11.42578125" customWidth="1"/>
    <col min="10" max="10" width="13.140625" customWidth="1"/>
  </cols>
  <sheetData>
    <row r="6" spans="2:10" x14ac:dyDescent="0.2">
      <c r="B6" t="s">
        <v>5</v>
      </c>
    </row>
    <row r="8" spans="2:10" x14ac:dyDescent="0.2">
      <c r="C8" t="s">
        <v>2</v>
      </c>
      <c r="E8" s="2">
        <v>0.05</v>
      </c>
    </row>
    <row r="10" spans="2:10" x14ac:dyDescent="0.2">
      <c r="I10" t="s">
        <v>3</v>
      </c>
      <c r="J10" s="7" t="s">
        <v>114</v>
      </c>
    </row>
    <row r="11" spans="2:10" x14ac:dyDescent="0.2">
      <c r="I11" t="s">
        <v>4</v>
      </c>
      <c r="J11" s="7" t="s">
        <v>4</v>
      </c>
    </row>
    <row r="12" spans="2:10" x14ac:dyDescent="0.2">
      <c r="B12" s="1" t="s">
        <v>1</v>
      </c>
      <c r="C12" s="7" t="s">
        <v>29</v>
      </c>
      <c r="D12" s="7" t="s">
        <v>30</v>
      </c>
      <c r="E12" s="7" t="s">
        <v>31</v>
      </c>
      <c r="F12" s="7" t="s">
        <v>32</v>
      </c>
      <c r="G12" s="7" t="s">
        <v>33</v>
      </c>
      <c r="H12" s="7" t="s">
        <v>34</v>
      </c>
      <c r="I12" s="1">
        <v>65</v>
      </c>
      <c r="J12" s="1">
        <v>60</v>
      </c>
    </row>
    <row r="13" spans="2:10" x14ac:dyDescent="0.2">
      <c r="J13" s="7" t="s">
        <v>115</v>
      </c>
    </row>
    <row r="14" spans="2:10" x14ac:dyDescent="0.2">
      <c r="B14" s="1">
        <v>20</v>
      </c>
      <c r="C14" s="8">
        <v>3.68E-4</v>
      </c>
      <c r="D14" s="3">
        <v>1000000</v>
      </c>
      <c r="E14" s="3">
        <f t="shared" ref="E14" si="0">D14*(1+E$8)^(B$14-B14)</f>
        <v>1000000</v>
      </c>
      <c r="F14" s="4">
        <f t="shared" ref="F14:F45" si="1">E14+F15</f>
        <v>19697166</v>
      </c>
      <c r="G14" s="4">
        <f>ROUND(F14-11/24*E14,0)</f>
        <v>19238833</v>
      </c>
      <c r="H14" s="4">
        <f t="shared" ref="H14:H45" si="2">H15+F14</f>
        <v>348254429</v>
      </c>
      <c r="I14" s="5">
        <f>G$59/E14</f>
        <v>1.191783</v>
      </c>
    </row>
    <row r="15" spans="2:10" x14ac:dyDescent="0.2">
      <c r="B15" s="1">
        <f t="shared" ref="B15:B46" si="3">1+B14</f>
        <v>21</v>
      </c>
      <c r="C15" s="8">
        <v>3.8099999999999999E-4</v>
      </c>
      <c r="D15" s="6">
        <f>ROUND(D14*(1-C14),0)</f>
        <v>999632</v>
      </c>
      <c r="E15" s="3">
        <f>ROUND(D15*(1+E$8)^(B$14-B15),0)</f>
        <v>952030</v>
      </c>
      <c r="F15" s="4">
        <f t="shared" si="1"/>
        <v>18697166</v>
      </c>
      <c r="G15" s="4">
        <f t="shared" ref="G15:G78" si="4">ROUND(F15-11/24*E15,0)</f>
        <v>18260819</v>
      </c>
      <c r="H15" s="4">
        <f t="shared" si="2"/>
        <v>328557263</v>
      </c>
      <c r="I15" s="5">
        <f t="shared" ref="I15:I59" si="5">G$59/E15</f>
        <v>1.2518334506265558</v>
      </c>
    </row>
    <row r="16" spans="2:10" x14ac:dyDescent="0.2">
      <c r="B16" s="1">
        <f t="shared" si="3"/>
        <v>22</v>
      </c>
      <c r="C16" s="8">
        <v>3.9599999999999998E-4</v>
      </c>
      <c r="D16" s="6">
        <f t="shared" ref="D16:D79" si="6">ROUND(D15*(1-C15),0)</f>
        <v>999251</v>
      </c>
      <c r="E16" s="3">
        <f t="shared" ref="E16:E79" si="7">ROUND(D16*(1+E$8)^(B$14-B16),0)</f>
        <v>906350</v>
      </c>
      <c r="F16" s="4">
        <f t="shared" si="1"/>
        <v>17745136</v>
      </c>
      <c r="G16" s="4">
        <f t="shared" si="4"/>
        <v>17329726</v>
      </c>
      <c r="H16" s="4">
        <f t="shared" si="2"/>
        <v>309860097</v>
      </c>
      <c r="I16" s="5">
        <f t="shared" si="5"/>
        <v>1.314925801290892</v>
      </c>
    </row>
    <row r="17" spans="2:9" x14ac:dyDescent="0.2">
      <c r="B17" s="1">
        <f t="shared" si="3"/>
        <v>23</v>
      </c>
      <c r="C17" s="8">
        <v>4.1800000000000002E-4</v>
      </c>
      <c r="D17" s="6">
        <f t="shared" si="6"/>
        <v>998855</v>
      </c>
      <c r="E17" s="3">
        <f t="shared" si="7"/>
        <v>862849</v>
      </c>
      <c r="F17" s="4">
        <f t="shared" si="1"/>
        <v>16838786</v>
      </c>
      <c r="G17" s="4">
        <f t="shared" si="4"/>
        <v>16443314</v>
      </c>
      <c r="H17" s="4">
        <f t="shared" si="2"/>
        <v>292114961</v>
      </c>
      <c r="I17" s="5">
        <f t="shared" si="5"/>
        <v>1.3812184982540399</v>
      </c>
    </row>
    <row r="18" spans="2:9" x14ac:dyDescent="0.2">
      <c r="B18" s="1">
        <f t="shared" si="3"/>
        <v>24</v>
      </c>
      <c r="C18" s="8">
        <v>4.4099999999999999E-4</v>
      </c>
      <c r="D18" s="6">
        <f t="shared" si="6"/>
        <v>998437</v>
      </c>
      <c r="E18" s="3">
        <f t="shared" si="7"/>
        <v>821417</v>
      </c>
      <c r="F18" s="4">
        <f t="shared" si="1"/>
        <v>15975937</v>
      </c>
      <c r="G18" s="4">
        <f t="shared" si="4"/>
        <v>15599454</v>
      </c>
      <c r="H18" s="4">
        <f t="shared" si="2"/>
        <v>275276175</v>
      </c>
      <c r="I18" s="5">
        <f t="shared" si="5"/>
        <v>1.4508866994474183</v>
      </c>
    </row>
    <row r="19" spans="2:9" x14ac:dyDescent="0.2">
      <c r="B19" s="1">
        <f t="shared" si="3"/>
        <v>25</v>
      </c>
      <c r="C19" s="8">
        <v>4.6799999999999999E-4</v>
      </c>
      <c r="D19" s="6">
        <f t="shared" si="6"/>
        <v>997997</v>
      </c>
      <c r="E19" s="3">
        <f t="shared" si="7"/>
        <v>781957</v>
      </c>
      <c r="F19" s="4">
        <f t="shared" si="1"/>
        <v>15154520</v>
      </c>
      <c r="G19" s="4">
        <f t="shared" si="4"/>
        <v>14796123</v>
      </c>
      <c r="H19" s="4">
        <f t="shared" si="2"/>
        <v>259300238</v>
      </c>
      <c r="I19" s="5">
        <f t="shared" si="5"/>
        <v>1.5241029877601966</v>
      </c>
    </row>
    <row r="20" spans="2:9" x14ac:dyDescent="0.2">
      <c r="B20" s="1">
        <f t="shared" si="3"/>
        <v>26</v>
      </c>
      <c r="C20" s="8">
        <v>5.0000000000000001E-4</v>
      </c>
      <c r="D20" s="6">
        <f t="shared" si="6"/>
        <v>997530</v>
      </c>
      <c r="E20" s="3">
        <f t="shared" si="7"/>
        <v>744372</v>
      </c>
      <c r="F20" s="4">
        <f t="shared" si="1"/>
        <v>14372563</v>
      </c>
      <c r="G20" s="4">
        <f t="shared" si="4"/>
        <v>14031393</v>
      </c>
      <c r="H20" s="4">
        <f t="shared" si="2"/>
        <v>244145718</v>
      </c>
      <c r="I20" s="5">
        <f t="shared" si="5"/>
        <v>1.6010583417968436</v>
      </c>
    </row>
    <row r="21" spans="2:9" x14ac:dyDescent="0.2">
      <c r="B21" s="1">
        <f t="shared" si="3"/>
        <v>27</v>
      </c>
      <c r="C21" s="8">
        <v>5.2300000000000003E-4</v>
      </c>
      <c r="D21" s="6">
        <f t="shared" si="6"/>
        <v>997031</v>
      </c>
      <c r="E21" s="3">
        <f t="shared" si="7"/>
        <v>708571</v>
      </c>
      <c r="F21" s="4">
        <f t="shared" si="1"/>
        <v>13628191</v>
      </c>
      <c r="G21" s="4">
        <f t="shared" si="4"/>
        <v>13303429</v>
      </c>
      <c r="H21" s="4">
        <f t="shared" si="2"/>
        <v>229773155</v>
      </c>
      <c r="I21" s="5">
        <f t="shared" si="5"/>
        <v>1.6819528318263095</v>
      </c>
    </row>
    <row r="22" spans="2:9" x14ac:dyDescent="0.2">
      <c r="B22" s="1">
        <f t="shared" si="3"/>
        <v>28</v>
      </c>
      <c r="C22" s="8">
        <v>5.4299999999999997E-4</v>
      </c>
      <c r="D22" s="6">
        <f t="shared" si="6"/>
        <v>996510</v>
      </c>
      <c r="E22" s="3">
        <f t="shared" si="7"/>
        <v>674477</v>
      </c>
      <c r="F22" s="4">
        <f t="shared" si="1"/>
        <v>12919620</v>
      </c>
      <c r="G22" s="4">
        <f t="shared" si="4"/>
        <v>12610485</v>
      </c>
      <c r="H22" s="4">
        <f t="shared" si="2"/>
        <v>216144964</v>
      </c>
      <c r="I22" s="5">
        <f t="shared" si="5"/>
        <v>1.7669735217064482</v>
      </c>
    </row>
    <row r="23" spans="2:9" x14ac:dyDescent="0.2">
      <c r="B23" s="1">
        <f t="shared" si="3"/>
        <v>29</v>
      </c>
      <c r="C23" s="8">
        <v>5.6400000000000005E-4</v>
      </c>
      <c r="D23" s="6">
        <f t="shared" si="6"/>
        <v>995969</v>
      </c>
      <c r="E23" s="3">
        <f t="shared" si="7"/>
        <v>642010</v>
      </c>
      <c r="F23" s="4">
        <f t="shared" si="1"/>
        <v>12245143</v>
      </c>
      <c r="G23" s="4">
        <f t="shared" si="4"/>
        <v>11950888</v>
      </c>
      <c r="H23" s="4">
        <f t="shared" si="2"/>
        <v>203225344</v>
      </c>
      <c r="I23" s="5">
        <f t="shared" si="5"/>
        <v>1.8563308982726126</v>
      </c>
    </row>
    <row r="24" spans="2:9" x14ac:dyDescent="0.2">
      <c r="B24" s="1">
        <f t="shared" si="3"/>
        <v>30</v>
      </c>
      <c r="C24" s="8">
        <v>5.8799999999999998E-4</v>
      </c>
      <c r="D24" s="6">
        <f t="shared" si="6"/>
        <v>995407</v>
      </c>
      <c r="E24" s="3">
        <f t="shared" si="7"/>
        <v>611094</v>
      </c>
      <c r="F24" s="4">
        <f t="shared" si="1"/>
        <v>11603133</v>
      </c>
      <c r="G24" s="4">
        <f t="shared" si="4"/>
        <v>11323048</v>
      </c>
      <c r="H24" s="4">
        <f t="shared" si="2"/>
        <v>190980201</v>
      </c>
      <c r="I24" s="5">
        <f t="shared" si="5"/>
        <v>1.9502449704955376</v>
      </c>
    </row>
    <row r="25" spans="2:9" x14ac:dyDescent="0.2">
      <c r="B25" s="1">
        <f t="shared" si="3"/>
        <v>31</v>
      </c>
      <c r="C25" s="8">
        <v>6.1200000000000002E-4</v>
      </c>
      <c r="D25" s="6">
        <f t="shared" si="6"/>
        <v>994822</v>
      </c>
      <c r="E25" s="3">
        <f t="shared" si="7"/>
        <v>581652</v>
      </c>
      <c r="F25" s="4">
        <f t="shared" si="1"/>
        <v>10992039</v>
      </c>
      <c r="G25" s="4">
        <f t="shared" si="4"/>
        <v>10725449</v>
      </c>
      <c r="H25" s="4">
        <f t="shared" si="2"/>
        <v>179377068</v>
      </c>
      <c r="I25" s="5">
        <f t="shared" si="5"/>
        <v>2.048962266097254</v>
      </c>
    </row>
    <row r="26" spans="2:9" x14ac:dyDescent="0.2">
      <c r="B26" s="1">
        <f t="shared" si="3"/>
        <v>32</v>
      </c>
      <c r="C26" s="8">
        <v>6.3330000000000005E-4</v>
      </c>
      <c r="D26" s="6">
        <f t="shared" si="6"/>
        <v>994213</v>
      </c>
      <c r="E26" s="3">
        <f t="shared" si="7"/>
        <v>553615</v>
      </c>
      <c r="F26" s="4">
        <f t="shared" si="1"/>
        <v>10410387</v>
      </c>
      <c r="G26" s="4">
        <f t="shared" si="4"/>
        <v>10156647</v>
      </c>
      <c r="H26" s="4">
        <f t="shared" si="2"/>
        <v>168385029</v>
      </c>
      <c r="I26" s="5">
        <f t="shared" si="5"/>
        <v>2.152728881984773</v>
      </c>
    </row>
    <row r="27" spans="2:9" x14ac:dyDescent="0.2">
      <c r="B27" s="1">
        <f t="shared" si="3"/>
        <v>33</v>
      </c>
      <c r="C27" s="8">
        <v>6.4899999999999995E-4</v>
      </c>
      <c r="D27" s="6">
        <f t="shared" si="6"/>
        <v>993583</v>
      </c>
      <c r="E27" s="3">
        <f t="shared" si="7"/>
        <v>526918</v>
      </c>
      <c r="F27" s="4">
        <f t="shared" si="1"/>
        <v>9856772</v>
      </c>
      <c r="G27" s="4">
        <f t="shared" si="4"/>
        <v>9615268</v>
      </c>
      <c r="H27" s="4">
        <f t="shared" si="2"/>
        <v>157974642</v>
      </c>
      <c r="I27" s="5">
        <f t="shared" si="5"/>
        <v>2.2617997487275061</v>
      </c>
    </row>
    <row r="28" spans="2:9" x14ac:dyDescent="0.2">
      <c r="B28" s="1">
        <f t="shared" si="3"/>
        <v>34</v>
      </c>
      <c r="C28" s="8">
        <v>6.6100000000000002E-4</v>
      </c>
      <c r="D28" s="6">
        <f t="shared" si="6"/>
        <v>992938</v>
      </c>
      <c r="E28" s="3">
        <f t="shared" si="7"/>
        <v>501501</v>
      </c>
      <c r="F28" s="4">
        <f t="shared" si="1"/>
        <v>9329854</v>
      </c>
      <c r="G28" s="4">
        <f t="shared" si="4"/>
        <v>9099999</v>
      </c>
      <c r="H28" s="4">
        <f t="shared" si="2"/>
        <v>148117870</v>
      </c>
      <c r="I28" s="5">
        <f t="shared" si="5"/>
        <v>2.3764319512822505</v>
      </c>
    </row>
    <row r="29" spans="2:9" x14ac:dyDescent="0.2">
      <c r="B29" s="1">
        <f t="shared" si="3"/>
        <v>35</v>
      </c>
      <c r="C29" s="8">
        <v>6.7500000000000004E-4</v>
      </c>
      <c r="D29" s="6">
        <f t="shared" si="6"/>
        <v>992282</v>
      </c>
      <c r="E29" s="3">
        <f t="shared" si="7"/>
        <v>477305</v>
      </c>
      <c r="F29" s="4">
        <f t="shared" si="1"/>
        <v>8828353</v>
      </c>
      <c r="G29" s="4">
        <f t="shared" si="4"/>
        <v>8609588</v>
      </c>
      <c r="H29" s="4">
        <f t="shared" si="2"/>
        <v>138788016</v>
      </c>
      <c r="I29" s="5">
        <f t="shared" si="5"/>
        <v>2.4969003048365299</v>
      </c>
    </row>
    <row r="30" spans="2:9" x14ac:dyDescent="0.2">
      <c r="B30" s="1">
        <f t="shared" si="3"/>
        <v>36</v>
      </c>
      <c r="C30" s="8">
        <v>6.9499999999999998E-4</v>
      </c>
      <c r="D30" s="6">
        <f t="shared" si="6"/>
        <v>991612</v>
      </c>
      <c r="E30" s="3">
        <f t="shared" si="7"/>
        <v>454269</v>
      </c>
      <c r="F30" s="4">
        <f t="shared" si="1"/>
        <v>8351048</v>
      </c>
      <c r="G30" s="4">
        <f t="shared" si="4"/>
        <v>8142841</v>
      </c>
      <c r="H30" s="4">
        <f t="shared" si="2"/>
        <v>129959663</v>
      </c>
      <c r="I30" s="5">
        <f t="shared" si="5"/>
        <v>2.6235182237837051</v>
      </c>
    </row>
    <row r="31" spans="2:9" x14ac:dyDescent="0.2">
      <c r="B31" s="1">
        <f t="shared" si="3"/>
        <v>37</v>
      </c>
      <c r="C31" s="8">
        <v>7.27E-4</v>
      </c>
      <c r="D31" s="6">
        <f t="shared" si="6"/>
        <v>990923</v>
      </c>
      <c r="E31" s="3">
        <f t="shared" si="7"/>
        <v>432336</v>
      </c>
      <c r="F31" s="4">
        <f t="shared" si="1"/>
        <v>7896779</v>
      </c>
      <c r="G31" s="4">
        <f t="shared" si="4"/>
        <v>7698625</v>
      </c>
      <c r="H31" s="4">
        <f t="shared" si="2"/>
        <v>121608615</v>
      </c>
      <c r="I31" s="5">
        <f t="shared" si="5"/>
        <v>2.7566129121794161</v>
      </c>
    </row>
    <row r="32" spans="2:9" x14ac:dyDescent="0.2">
      <c r="B32" s="1">
        <f t="shared" si="3"/>
        <v>38</v>
      </c>
      <c r="C32" s="8">
        <v>7.6800000000000002E-4</v>
      </c>
      <c r="D32" s="6">
        <f t="shared" si="6"/>
        <v>990203</v>
      </c>
      <c r="E32" s="3">
        <f t="shared" si="7"/>
        <v>411450</v>
      </c>
      <c r="F32" s="4">
        <f t="shared" si="1"/>
        <v>7464443</v>
      </c>
      <c r="G32" s="4">
        <f t="shared" si="4"/>
        <v>7275862</v>
      </c>
      <c r="H32" s="4">
        <f t="shared" si="2"/>
        <v>113711836</v>
      </c>
      <c r="I32" s="5">
        <f t="shared" si="5"/>
        <v>2.8965439300036455</v>
      </c>
    </row>
    <row r="33" spans="2:9" x14ac:dyDescent="0.2">
      <c r="B33" s="1">
        <f t="shared" si="3"/>
        <v>39</v>
      </c>
      <c r="C33" s="8">
        <v>8.1899999999999996E-4</v>
      </c>
      <c r="D33" s="6">
        <f t="shared" si="6"/>
        <v>989443</v>
      </c>
      <c r="E33" s="3">
        <f t="shared" si="7"/>
        <v>391556</v>
      </c>
      <c r="F33" s="4">
        <f t="shared" si="1"/>
        <v>7052993</v>
      </c>
      <c r="G33" s="4">
        <f t="shared" si="4"/>
        <v>6873530</v>
      </c>
      <c r="H33" s="4">
        <f t="shared" si="2"/>
        <v>106247393</v>
      </c>
      <c r="I33" s="5">
        <f t="shared" si="5"/>
        <v>3.0437102228033792</v>
      </c>
    </row>
    <row r="34" spans="2:9" x14ac:dyDescent="0.2">
      <c r="B34" s="1">
        <f t="shared" si="3"/>
        <v>40</v>
      </c>
      <c r="C34" s="8">
        <v>8.7900000000000001E-4</v>
      </c>
      <c r="D34" s="6">
        <f t="shared" si="6"/>
        <v>988633</v>
      </c>
      <c r="E34" s="3">
        <f t="shared" si="7"/>
        <v>372605</v>
      </c>
      <c r="F34" s="4">
        <f t="shared" si="1"/>
        <v>6661437</v>
      </c>
      <c r="G34" s="4">
        <f t="shared" si="4"/>
        <v>6490660</v>
      </c>
      <c r="H34" s="4">
        <f t="shared" si="2"/>
        <v>99194400</v>
      </c>
      <c r="I34" s="5">
        <f t="shared" si="5"/>
        <v>3.198515854591323</v>
      </c>
    </row>
    <row r="35" spans="2:9" x14ac:dyDescent="0.2">
      <c r="B35" s="1">
        <f t="shared" si="3"/>
        <v>41</v>
      </c>
      <c r="C35" s="8">
        <v>9.4439999999999997E-4</v>
      </c>
      <c r="D35" s="6">
        <f t="shared" si="6"/>
        <v>987764</v>
      </c>
      <c r="E35" s="3">
        <f t="shared" si="7"/>
        <v>354550</v>
      </c>
      <c r="F35" s="4">
        <f t="shared" si="1"/>
        <v>6288832</v>
      </c>
      <c r="G35" s="4">
        <f t="shared" si="4"/>
        <v>6126330</v>
      </c>
      <c r="H35" s="4">
        <f t="shared" si="2"/>
        <v>92532963</v>
      </c>
      <c r="I35" s="5">
        <f t="shared" si="5"/>
        <v>3.3613961359469751</v>
      </c>
    </row>
    <row r="36" spans="2:9" x14ac:dyDescent="0.2">
      <c r="B36" s="1">
        <f t="shared" si="3"/>
        <v>42</v>
      </c>
      <c r="C36" s="8">
        <v>1.0139999999999999E-3</v>
      </c>
      <c r="D36" s="6">
        <f t="shared" si="6"/>
        <v>986831</v>
      </c>
      <c r="E36" s="3">
        <f t="shared" si="7"/>
        <v>337348</v>
      </c>
      <c r="F36" s="4">
        <f t="shared" si="1"/>
        <v>5934282</v>
      </c>
      <c r="G36" s="4">
        <f t="shared" si="4"/>
        <v>5779664</v>
      </c>
      <c r="H36" s="4">
        <f t="shared" si="2"/>
        <v>86244131</v>
      </c>
      <c r="I36" s="5">
        <f t="shared" si="5"/>
        <v>3.5327999573141087</v>
      </c>
    </row>
    <row r="37" spans="2:9" x14ac:dyDescent="0.2">
      <c r="B37" s="1">
        <f t="shared" si="3"/>
        <v>43</v>
      </c>
      <c r="C37" s="8">
        <v>1.083E-3</v>
      </c>
      <c r="D37" s="6">
        <f t="shared" si="6"/>
        <v>985830</v>
      </c>
      <c r="E37" s="3">
        <f t="shared" si="7"/>
        <v>320958</v>
      </c>
      <c r="F37" s="4">
        <f t="shared" si="1"/>
        <v>5596934</v>
      </c>
      <c r="G37" s="4">
        <f t="shared" si="4"/>
        <v>5449828</v>
      </c>
      <c r="H37" s="4">
        <f t="shared" si="2"/>
        <v>80309849</v>
      </c>
      <c r="I37" s="5">
        <f t="shared" si="5"/>
        <v>3.7132054661357561</v>
      </c>
    </row>
    <row r="38" spans="2:9" x14ac:dyDescent="0.2">
      <c r="B38" s="1">
        <f t="shared" si="3"/>
        <v>44</v>
      </c>
      <c r="C38" s="8">
        <v>1.1509999999999999E-3</v>
      </c>
      <c r="D38" s="6">
        <f t="shared" si="6"/>
        <v>984762</v>
      </c>
      <c r="E38" s="3">
        <f t="shared" si="7"/>
        <v>305343</v>
      </c>
      <c r="F38" s="4">
        <f t="shared" si="1"/>
        <v>5275976</v>
      </c>
      <c r="G38" s="4">
        <f t="shared" si="4"/>
        <v>5136027</v>
      </c>
      <c r="H38" s="4">
        <f t="shared" si="2"/>
        <v>74712915</v>
      </c>
      <c r="I38" s="5">
        <f t="shared" si="5"/>
        <v>3.9030958626855701</v>
      </c>
    </row>
    <row r="39" spans="2:9" x14ac:dyDescent="0.2">
      <c r="B39" s="1">
        <f t="shared" si="3"/>
        <v>45</v>
      </c>
      <c r="C39" s="8">
        <v>1.224E-3</v>
      </c>
      <c r="D39" s="6">
        <f t="shared" si="6"/>
        <v>983629</v>
      </c>
      <c r="E39" s="3">
        <f t="shared" si="7"/>
        <v>290468</v>
      </c>
      <c r="F39" s="4">
        <f t="shared" si="1"/>
        <v>4970633</v>
      </c>
      <c r="G39" s="4">
        <f t="shared" si="4"/>
        <v>4837502</v>
      </c>
      <c r="H39" s="4">
        <f t="shared" si="2"/>
        <v>69436939</v>
      </c>
      <c r="I39" s="5">
        <f t="shared" si="5"/>
        <v>4.1029751986449456</v>
      </c>
    </row>
    <row r="40" spans="2:9" x14ac:dyDescent="0.2">
      <c r="B40" s="1">
        <f t="shared" si="3"/>
        <v>46</v>
      </c>
      <c r="C40" s="8">
        <v>1.312E-3</v>
      </c>
      <c r="D40" s="6">
        <f t="shared" si="6"/>
        <v>982425</v>
      </c>
      <c r="E40" s="3">
        <f t="shared" si="7"/>
        <v>276298</v>
      </c>
      <c r="F40" s="4">
        <f t="shared" si="1"/>
        <v>4680165</v>
      </c>
      <c r="G40" s="4">
        <f t="shared" si="4"/>
        <v>4553528</v>
      </c>
      <c r="H40" s="4">
        <f t="shared" si="2"/>
        <v>64466306</v>
      </c>
      <c r="I40" s="5">
        <f t="shared" si="5"/>
        <v>4.3133971291866029</v>
      </c>
    </row>
    <row r="41" spans="2:9" x14ac:dyDescent="0.2">
      <c r="B41" s="1">
        <f t="shared" si="3"/>
        <v>47</v>
      </c>
      <c r="C41" s="8">
        <v>1.4220000000000001E-3</v>
      </c>
      <c r="D41" s="6">
        <f t="shared" si="6"/>
        <v>981136</v>
      </c>
      <c r="E41" s="3">
        <f t="shared" si="7"/>
        <v>262796</v>
      </c>
      <c r="F41" s="4">
        <f t="shared" si="1"/>
        <v>4403867</v>
      </c>
      <c r="G41" s="4">
        <f t="shared" si="4"/>
        <v>4283419</v>
      </c>
      <c r="H41" s="4">
        <f t="shared" si="2"/>
        <v>59786141</v>
      </c>
      <c r="I41" s="5">
        <f t="shared" si="5"/>
        <v>4.5350119484314826</v>
      </c>
    </row>
    <row r="42" spans="2:9" x14ac:dyDescent="0.2">
      <c r="B42" s="1">
        <f t="shared" si="3"/>
        <v>48</v>
      </c>
      <c r="C42" s="8">
        <v>1.554E-3</v>
      </c>
      <c r="D42" s="6">
        <f t="shared" si="6"/>
        <v>979741</v>
      </c>
      <c r="E42" s="3">
        <f t="shared" si="7"/>
        <v>249926</v>
      </c>
      <c r="F42" s="4">
        <f t="shared" si="1"/>
        <v>4141071</v>
      </c>
      <c r="G42" s="4">
        <f t="shared" si="4"/>
        <v>4026522</v>
      </c>
      <c r="H42" s="4">
        <f t="shared" si="2"/>
        <v>55382274</v>
      </c>
      <c r="I42" s="5">
        <f t="shared" si="5"/>
        <v>4.7685434888727061</v>
      </c>
    </row>
    <row r="43" spans="2:9" x14ac:dyDescent="0.2">
      <c r="B43" s="1">
        <f t="shared" si="3"/>
        <v>49</v>
      </c>
      <c r="C43" s="8">
        <v>1.699E-3</v>
      </c>
      <c r="D43" s="6">
        <f t="shared" si="6"/>
        <v>978218</v>
      </c>
      <c r="E43" s="3">
        <f t="shared" si="7"/>
        <v>237654</v>
      </c>
      <c r="F43" s="4">
        <f t="shared" si="1"/>
        <v>3891145</v>
      </c>
      <c r="G43" s="4">
        <f t="shared" si="4"/>
        <v>3782220</v>
      </c>
      <c r="H43" s="4">
        <f t="shared" si="2"/>
        <v>51241203</v>
      </c>
      <c r="I43" s="5">
        <f t="shared" si="5"/>
        <v>5.0147819939912646</v>
      </c>
    </row>
    <row r="44" spans="2:9" x14ac:dyDescent="0.2">
      <c r="B44" s="1">
        <f t="shared" si="3"/>
        <v>50</v>
      </c>
      <c r="C44" s="8">
        <v>1.869E-3</v>
      </c>
      <c r="D44" s="6">
        <f t="shared" si="6"/>
        <v>976556</v>
      </c>
      <c r="E44" s="3">
        <f t="shared" si="7"/>
        <v>225953</v>
      </c>
      <c r="F44" s="4">
        <f t="shared" si="1"/>
        <v>3653491</v>
      </c>
      <c r="G44" s="4">
        <f t="shared" si="4"/>
        <v>3549929</v>
      </c>
      <c r="H44" s="4">
        <f t="shared" si="2"/>
        <v>47350058</v>
      </c>
      <c r="I44" s="5">
        <f t="shared" si="5"/>
        <v>5.2744730098737351</v>
      </c>
    </row>
    <row r="45" spans="2:9" x14ac:dyDescent="0.2">
      <c r="B45" s="1">
        <f t="shared" si="3"/>
        <v>51</v>
      </c>
      <c r="C45" s="8">
        <v>2.065E-3</v>
      </c>
      <c r="D45" s="6">
        <f t="shared" si="6"/>
        <v>974731</v>
      </c>
      <c r="E45" s="3">
        <f t="shared" si="7"/>
        <v>214791</v>
      </c>
      <c r="F45" s="4">
        <f t="shared" si="1"/>
        <v>3427538</v>
      </c>
      <c r="G45" s="4">
        <f t="shared" si="4"/>
        <v>3329092</v>
      </c>
      <c r="H45" s="4">
        <f t="shared" si="2"/>
        <v>43696567</v>
      </c>
      <c r="I45" s="5">
        <f t="shared" si="5"/>
        <v>5.5485704708297829</v>
      </c>
    </row>
    <row r="46" spans="2:9" x14ac:dyDescent="0.2">
      <c r="B46" s="1">
        <f t="shared" si="3"/>
        <v>52</v>
      </c>
      <c r="C46" s="8">
        <v>2.3019999999999998E-3</v>
      </c>
      <c r="D46" s="6">
        <f t="shared" si="6"/>
        <v>972718</v>
      </c>
      <c r="E46" s="3">
        <f t="shared" si="7"/>
        <v>204141</v>
      </c>
      <c r="F46" s="4">
        <f t="shared" ref="F46:F77" si="8">E46+F47</f>
        <v>3212747</v>
      </c>
      <c r="G46" s="4">
        <f t="shared" si="4"/>
        <v>3119182</v>
      </c>
      <c r="H46" s="4">
        <f t="shared" ref="H46:H77" si="9">H47+F46</f>
        <v>40269029</v>
      </c>
      <c r="I46" s="5">
        <f t="shared" si="5"/>
        <v>5.8380384146251858</v>
      </c>
    </row>
    <row r="47" spans="2:9" x14ac:dyDescent="0.2">
      <c r="B47" s="1">
        <f t="shared" ref="B47:B78" si="10">1+B46</f>
        <v>53</v>
      </c>
      <c r="C47" s="8">
        <v>2.5709999999999999E-3</v>
      </c>
      <c r="D47" s="6">
        <f t="shared" si="6"/>
        <v>970479</v>
      </c>
      <c r="E47" s="3">
        <f t="shared" si="7"/>
        <v>193972</v>
      </c>
      <c r="F47" s="4">
        <f t="shared" si="8"/>
        <v>3008606</v>
      </c>
      <c r="G47" s="4">
        <f t="shared" si="4"/>
        <v>2919702</v>
      </c>
      <c r="H47" s="4">
        <f t="shared" si="9"/>
        <v>37056282</v>
      </c>
      <c r="I47" s="5">
        <f t="shared" si="5"/>
        <v>6.1440981172540363</v>
      </c>
    </row>
    <row r="48" spans="2:9" x14ac:dyDescent="0.2">
      <c r="B48" s="1">
        <f t="shared" si="10"/>
        <v>54</v>
      </c>
      <c r="C48" s="8">
        <v>2.8540000000000002E-3</v>
      </c>
      <c r="D48" s="6">
        <f t="shared" si="6"/>
        <v>967984</v>
      </c>
      <c r="E48" s="3">
        <f t="shared" si="7"/>
        <v>184260</v>
      </c>
      <c r="F48" s="4">
        <f t="shared" si="8"/>
        <v>2814634</v>
      </c>
      <c r="G48" s="4">
        <f t="shared" si="4"/>
        <v>2730182</v>
      </c>
      <c r="H48" s="4">
        <f t="shared" si="9"/>
        <v>34047676</v>
      </c>
      <c r="I48" s="5">
        <f t="shared" si="5"/>
        <v>6.4679420384239661</v>
      </c>
    </row>
    <row r="49" spans="2:10" x14ac:dyDescent="0.2">
      <c r="B49" s="1">
        <f t="shared" si="10"/>
        <v>55</v>
      </c>
      <c r="C49" s="8">
        <v>3.1970000000000002E-3</v>
      </c>
      <c r="D49" s="6">
        <f t="shared" si="6"/>
        <v>965221</v>
      </c>
      <c r="E49" s="3">
        <f t="shared" si="7"/>
        <v>174985</v>
      </c>
      <c r="F49" s="4">
        <f t="shared" si="8"/>
        <v>2630374</v>
      </c>
      <c r="G49" s="4">
        <f t="shared" si="4"/>
        <v>2550173</v>
      </c>
      <c r="H49" s="4">
        <f t="shared" si="9"/>
        <v>31233042</v>
      </c>
      <c r="I49" s="5">
        <f t="shared" si="5"/>
        <v>6.8107723519158787</v>
      </c>
    </row>
    <row r="50" spans="2:10" x14ac:dyDescent="0.2">
      <c r="B50" s="1">
        <f t="shared" si="10"/>
        <v>56</v>
      </c>
      <c r="C50" s="8">
        <v>3.614E-3</v>
      </c>
      <c r="D50" s="6">
        <f t="shared" si="6"/>
        <v>962135</v>
      </c>
      <c r="E50" s="3">
        <f t="shared" si="7"/>
        <v>166120</v>
      </c>
      <c r="F50" s="4">
        <f t="shared" si="8"/>
        <v>2455389</v>
      </c>
      <c r="G50" s="4">
        <f t="shared" si="4"/>
        <v>2379251</v>
      </c>
      <c r="H50" s="4">
        <f t="shared" si="9"/>
        <v>28602668</v>
      </c>
      <c r="I50" s="5">
        <f t="shared" si="5"/>
        <v>7.1742294726703584</v>
      </c>
    </row>
    <row r="51" spans="2:10" x14ac:dyDescent="0.2">
      <c r="B51" s="1">
        <f t="shared" si="10"/>
        <v>57</v>
      </c>
      <c r="C51" s="8">
        <v>4.1240000000000001E-3</v>
      </c>
      <c r="D51" s="6">
        <f t="shared" si="6"/>
        <v>958658</v>
      </c>
      <c r="E51" s="3">
        <f t="shared" si="7"/>
        <v>157638</v>
      </c>
      <c r="F51" s="4">
        <f t="shared" si="8"/>
        <v>2289269</v>
      </c>
      <c r="G51" s="4">
        <f t="shared" si="4"/>
        <v>2217018</v>
      </c>
      <c r="H51" s="4">
        <f t="shared" si="9"/>
        <v>26147279</v>
      </c>
      <c r="I51" s="5">
        <f t="shared" si="5"/>
        <v>7.5602519697027368</v>
      </c>
    </row>
    <row r="52" spans="2:10" x14ac:dyDescent="0.2">
      <c r="B52" s="1">
        <f t="shared" si="10"/>
        <v>58</v>
      </c>
      <c r="C52" s="8">
        <v>4.712E-3</v>
      </c>
      <c r="D52" s="6">
        <f t="shared" si="6"/>
        <v>954704</v>
      </c>
      <c r="E52" s="3">
        <f t="shared" si="7"/>
        <v>149512</v>
      </c>
      <c r="F52" s="4">
        <f t="shared" si="8"/>
        <v>2131631</v>
      </c>
      <c r="G52" s="4">
        <f t="shared" si="4"/>
        <v>2063105</v>
      </c>
      <c r="H52" s="4">
        <f t="shared" si="9"/>
        <v>23858010</v>
      </c>
      <c r="I52" s="5">
        <f t="shared" si="5"/>
        <v>7.9711528171651773</v>
      </c>
    </row>
    <row r="53" spans="2:10" x14ac:dyDescent="0.2">
      <c r="B53" s="1">
        <f t="shared" si="10"/>
        <v>59</v>
      </c>
      <c r="C53" s="8">
        <v>5.3449999999999999E-3</v>
      </c>
      <c r="D53" s="6">
        <f t="shared" si="6"/>
        <v>950205</v>
      </c>
      <c r="E53" s="3">
        <f t="shared" si="7"/>
        <v>141721</v>
      </c>
      <c r="F53" s="4">
        <f t="shared" si="8"/>
        <v>1982119</v>
      </c>
      <c r="G53" s="4">
        <f t="shared" si="4"/>
        <v>1917164</v>
      </c>
      <c r="H53" s="4">
        <f t="shared" si="9"/>
        <v>21726379</v>
      </c>
      <c r="I53" s="5">
        <f t="shared" si="5"/>
        <v>8.4093606452113665</v>
      </c>
    </row>
    <row r="54" spans="2:10" x14ac:dyDescent="0.2">
      <c r="B54" s="1">
        <f t="shared" si="10"/>
        <v>60</v>
      </c>
      <c r="C54" s="8">
        <v>6.0619999999999997E-3</v>
      </c>
      <c r="D54" s="6">
        <f t="shared" si="6"/>
        <v>945126</v>
      </c>
      <c r="E54" s="3">
        <f t="shared" si="7"/>
        <v>134251</v>
      </c>
      <c r="F54" s="4">
        <f t="shared" si="8"/>
        <v>1840398</v>
      </c>
      <c r="G54" s="4">
        <f t="shared" si="4"/>
        <v>1778866</v>
      </c>
      <c r="H54" s="4">
        <f t="shared" si="9"/>
        <v>19744260</v>
      </c>
      <c r="I54" s="5">
        <f t="shared" si="5"/>
        <v>8.8772746571720145</v>
      </c>
      <c r="J54" s="75">
        <f>G54/E54</f>
        <v>13.250299811547027</v>
      </c>
    </row>
    <row r="55" spans="2:10" x14ac:dyDescent="0.2">
      <c r="B55" s="1">
        <f t="shared" si="10"/>
        <v>61</v>
      </c>
      <c r="C55" s="8">
        <v>6.9119999999999997E-3</v>
      </c>
      <c r="D55" s="6">
        <f t="shared" si="6"/>
        <v>939397</v>
      </c>
      <c r="E55" s="3">
        <f t="shared" si="7"/>
        <v>127083</v>
      </c>
      <c r="F55" s="4">
        <f t="shared" si="8"/>
        <v>1706147</v>
      </c>
      <c r="G55" s="4">
        <f t="shared" si="4"/>
        <v>1647901</v>
      </c>
      <c r="H55" s="4">
        <f t="shared" si="9"/>
        <v>17903862</v>
      </c>
      <c r="I55" s="5">
        <f t="shared" si="5"/>
        <v>9.3779891881683621</v>
      </c>
      <c r="J55" s="75">
        <f t="shared" ref="J55:J89" si="11">G55/E55</f>
        <v>12.967123848193701</v>
      </c>
    </row>
    <row r="56" spans="2:10" x14ac:dyDescent="0.2">
      <c r="B56" s="1">
        <f t="shared" si="10"/>
        <v>62</v>
      </c>
      <c r="C56" s="8">
        <v>7.8460000000000005E-3</v>
      </c>
      <c r="D56" s="6">
        <f t="shared" si="6"/>
        <v>932904</v>
      </c>
      <c r="E56" s="3">
        <f t="shared" si="7"/>
        <v>120195</v>
      </c>
      <c r="F56" s="4">
        <f t="shared" si="8"/>
        <v>1579064</v>
      </c>
      <c r="G56" s="4">
        <f t="shared" si="4"/>
        <v>1523975</v>
      </c>
      <c r="H56" s="4">
        <f t="shared" si="9"/>
        <v>16197715</v>
      </c>
      <c r="I56" s="5">
        <f t="shared" si="5"/>
        <v>9.9154124547610127</v>
      </c>
      <c r="J56" s="75">
        <f t="shared" si="11"/>
        <v>12.67918798618911</v>
      </c>
    </row>
    <row r="57" spans="2:10" x14ac:dyDescent="0.2">
      <c r="B57" s="1">
        <f t="shared" si="10"/>
        <v>63</v>
      </c>
      <c r="C57" s="8">
        <v>8.9580000000000007E-3</v>
      </c>
      <c r="D57" s="6">
        <f t="shared" si="6"/>
        <v>925584</v>
      </c>
      <c r="E57" s="3">
        <f t="shared" si="7"/>
        <v>113573</v>
      </c>
      <c r="F57" s="4">
        <f t="shared" si="8"/>
        <v>1458869</v>
      </c>
      <c r="G57" s="4">
        <f t="shared" si="4"/>
        <v>1406815</v>
      </c>
      <c r="H57" s="4">
        <f t="shared" si="9"/>
        <v>14618651</v>
      </c>
      <c r="I57" s="5">
        <f t="shared" si="5"/>
        <v>10.493541598795488</v>
      </c>
      <c r="J57" s="75">
        <f t="shared" si="11"/>
        <v>12.386878923687849</v>
      </c>
    </row>
    <row r="58" spans="2:10" x14ac:dyDescent="0.2">
      <c r="B58" s="1">
        <f t="shared" si="10"/>
        <v>64</v>
      </c>
      <c r="C58" s="8">
        <v>1.0151E-2</v>
      </c>
      <c r="D58" s="6">
        <f t="shared" si="6"/>
        <v>917293</v>
      </c>
      <c r="E58" s="3">
        <f t="shared" si="7"/>
        <v>107196</v>
      </c>
      <c r="F58" s="4">
        <f t="shared" si="8"/>
        <v>1345296</v>
      </c>
      <c r="G58" s="4">
        <f t="shared" si="4"/>
        <v>1296165</v>
      </c>
      <c r="H58" s="4">
        <f t="shared" si="9"/>
        <v>13159782</v>
      </c>
      <c r="I58" s="5">
        <f t="shared" si="5"/>
        <v>11.117793574387104</v>
      </c>
      <c r="J58" s="75">
        <f t="shared" si="11"/>
        <v>12.091542594872942</v>
      </c>
    </row>
    <row r="59" spans="2:10" x14ac:dyDescent="0.2">
      <c r="B59" s="1">
        <f t="shared" si="10"/>
        <v>65</v>
      </c>
      <c r="C59" s="8">
        <v>1.1441E-2</v>
      </c>
      <c r="D59" s="6">
        <f t="shared" si="6"/>
        <v>907982</v>
      </c>
      <c r="E59" s="3">
        <f t="shared" si="7"/>
        <v>101055</v>
      </c>
      <c r="F59" s="4">
        <f t="shared" si="8"/>
        <v>1238100</v>
      </c>
      <c r="G59" s="4">
        <f t="shared" si="4"/>
        <v>1191783</v>
      </c>
      <c r="H59" s="4">
        <f t="shared" si="9"/>
        <v>11814486</v>
      </c>
      <c r="I59" s="5">
        <f t="shared" si="5"/>
        <v>11.793409529464153</v>
      </c>
      <c r="J59" s="75">
        <f t="shared" si="11"/>
        <v>11.793409529464153</v>
      </c>
    </row>
    <row r="60" spans="2:10" x14ac:dyDescent="0.2">
      <c r="B60" s="1">
        <f t="shared" si="10"/>
        <v>66</v>
      </c>
      <c r="C60" s="8">
        <v>1.2869999999999999E-2</v>
      </c>
      <c r="D60" s="6">
        <f t="shared" si="6"/>
        <v>897594</v>
      </c>
      <c r="E60" s="3">
        <f t="shared" si="7"/>
        <v>95142</v>
      </c>
      <c r="F60" s="4">
        <f t="shared" si="8"/>
        <v>1137045</v>
      </c>
      <c r="G60" s="4">
        <f t="shared" si="4"/>
        <v>1093438</v>
      </c>
      <c r="H60" s="4">
        <f t="shared" si="9"/>
        <v>10576386</v>
      </c>
      <c r="I60" s="5">
        <f t="shared" ref="I60:I98" si="12">G60/E60</f>
        <v>11.492695129385551</v>
      </c>
      <c r="J60" s="75">
        <f t="shared" si="11"/>
        <v>11.492695129385551</v>
      </c>
    </row>
    <row r="61" spans="2:10" x14ac:dyDescent="0.2">
      <c r="B61" s="1">
        <f t="shared" si="10"/>
        <v>67</v>
      </c>
      <c r="C61" s="8">
        <v>1.4291E-2</v>
      </c>
      <c r="D61" s="6">
        <f t="shared" si="6"/>
        <v>886042</v>
      </c>
      <c r="E61" s="3">
        <f t="shared" si="7"/>
        <v>89445</v>
      </c>
      <c r="F61" s="4">
        <f t="shared" si="8"/>
        <v>1041903</v>
      </c>
      <c r="G61" s="4">
        <f t="shared" si="4"/>
        <v>1000907</v>
      </c>
      <c r="H61" s="4">
        <f t="shared" si="9"/>
        <v>9439341</v>
      </c>
      <c r="I61" s="5">
        <f t="shared" si="12"/>
        <v>11.190195091955951</v>
      </c>
      <c r="J61" s="75">
        <f t="shared" si="11"/>
        <v>11.190195091955951</v>
      </c>
    </row>
    <row r="62" spans="2:10" x14ac:dyDescent="0.2">
      <c r="B62" s="1">
        <f t="shared" si="10"/>
        <v>68</v>
      </c>
      <c r="C62" s="8">
        <v>1.5613999999999999E-2</v>
      </c>
      <c r="D62" s="6">
        <f t="shared" si="6"/>
        <v>873380</v>
      </c>
      <c r="E62" s="3">
        <f t="shared" si="7"/>
        <v>83969</v>
      </c>
      <c r="F62" s="4">
        <f t="shared" si="8"/>
        <v>952458</v>
      </c>
      <c r="G62" s="4">
        <f t="shared" si="4"/>
        <v>913972</v>
      </c>
      <c r="H62" s="4">
        <f t="shared" si="9"/>
        <v>8397438</v>
      </c>
      <c r="I62" s="5">
        <f t="shared" si="12"/>
        <v>10.884635996617799</v>
      </c>
      <c r="J62" s="75">
        <f t="shared" si="11"/>
        <v>10.884635996617799</v>
      </c>
    </row>
    <row r="63" spans="2:10" x14ac:dyDescent="0.2">
      <c r="B63" s="1">
        <f t="shared" si="10"/>
        <v>69</v>
      </c>
      <c r="C63" s="8">
        <v>1.7000000000000001E-2</v>
      </c>
      <c r="D63" s="6">
        <f t="shared" si="6"/>
        <v>859743</v>
      </c>
      <c r="E63" s="3">
        <f t="shared" si="7"/>
        <v>78721</v>
      </c>
      <c r="F63" s="4">
        <f t="shared" si="8"/>
        <v>868489</v>
      </c>
      <c r="G63" s="4">
        <f t="shared" si="4"/>
        <v>832409</v>
      </c>
      <c r="H63" s="4">
        <f t="shared" si="9"/>
        <v>7444980</v>
      </c>
      <c r="I63" s="5">
        <f t="shared" si="12"/>
        <v>10.574166994829842</v>
      </c>
      <c r="J63" s="75">
        <f t="shared" si="11"/>
        <v>10.574166994829842</v>
      </c>
    </row>
    <row r="64" spans="2:10" x14ac:dyDescent="0.2">
      <c r="B64" s="1">
        <f t="shared" si="10"/>
        <v>70</v>
      </c>
      <c r="C64" s="8">
        <v>1.8395999999999999E-2</v>
      </c>
      <c r="D64" s="6">
        <f t="shared" si="6"/>
        <v>845127</v>
      </c>
      <c r="E64" s="3">
        <f t="shared" si="7"/>
        <v>73698</v>
      </c>
      <c r="F64" s="4">
        <f t="shared" si="8"/>
        <v>789768</v>
      </c>
      <c r="G64" s="4">
        <f t="shared" si="4"/>
        <v>755990</v>
      </c>
      <c r="H64" s="4">
        <f t="shared" si="9"/>
        <v>6576491</v>
      </c>
      <c r="I64" s="5">
        <f t="shared" si="12"/>
        <v>10.2579445846563</v>
      </c>
      <c r="J64" s="75">
        <f t="shared" si="11"/>
        <v>10.2579445846563</v>
      </c>
    </row>
    <row r="65" spans="2:10" x14ac:dyDescent="0.2">
      <c r="B65" s="1">
        <f t="shared" si="10"/>
        <v>71</v>
      </c>
      <c r="C65" s="8">
        <v>2.0025000000000001E-2</v>
      </c>
      <c r="D65" s="6">
        <f t="shared" si="6"/>
        <v>829580</v>
      </c>
      <c r="E65" s="3">
        <f t="shared" si="7"/>
        <v>68898</v>
      </c>
      <c r="F65" s="4">
        <f t="shared" si="8"/>
        <v>716070</v>
      </c>
      <c r="G65" s="4">
        <f t="shared" si="4"/>
        <v>684492</v>
      </c>
      <c r="H65" s="4">
        <f t="shared" si="9"/>
        <v>5786723</v>
      </c>
      <c r="I65" s="5">
        <f t="shared" si="12"/>
        <v>9.9348602281633713</v>
      </c>
      <c r="J65" s="75">
        <f t="shared" si="11"/>
        <v>9.9348602281633713</v>
      </c>
    </row>
    <row r="66" spans="2:10" x14ac:dyDescent="0.2">
      <c r="B66" s="1">
        <f t="shared" si="10"/>
        <v>72</v>
      </c>
      <c r="C66" s="8">
        <v>2.2026E-2</v>
      </c>
      <c r="D66" s="6">
        <f t="shared" si="6"/>
        <v>812968</v>
      </c>
      <c r="E66" s="3">
        <f t="shared" si="7"/>
        <v>64303</v>
      </c>
      <c r="F66" s="4">
        <f t="shared" si="8"/>
        <v>647172</v>
      </c>
      <c r="G66" s="4">
        <f t="shared" si="4"/>
        <v>617700</v>
      </c>
      <c r="H66" s="4">
        <f t="shared" si="9"/>
        <v>5070653</v>
      </c>
      <c r="I66" s="5">
        <f t="shared" si="12"/>
        <v>9.6060836974946735</v>
      </c>
      <c r="J66" s="75">
        <f t="shared" si="11"/>
        <v>9.6060836974946735</v>
      </c>
    </row>
    <row r="67" spans="2:10" x14ac:dyDescent="0.2">
      <c r="B67" s="1">
        <f t="shared" si="10"/>
        <v>73</v>
      </c>
      <c r="C67" s="8">
        <v>2.4187E-2</v>
      </c>
      <c r="D67" s="6">
        <f t="shared" si="6"/>
        <v>795062</v>
      </c>
      <c r="E67" s="3">
        <f t="shared" si="7"/>
        <v>59892</v>
      </c>
      <c r="F67" s="4">
        <f t="shared" si="8"/>
        <v>582869</v>
      </c>
      <c r="G67" s="4">
        <f t="shared" si="4"/>
        <v>555419</v>
      </c>
      <c r="H67" s="4">
        <f t="shared" si="9"/>
        <v>4423481</v>
      </c>
      <c r="I67" s="5">
        <f t="shared" si="12"/>
        <v>9.2736759500434118</v>
      </c>
      <c r="J67" s="75">
        <f t="shared" si="11"/>
        <v>9.2736759500434118</v>
      </c>
    </row>
    <row r="68" spans="2:10" x14ac:dyDescent="0.2">
      <c r="B68" s="1">
        <f t="shared" si="10"/>
        <v>74</v>
      </c>
      <c r="C68" s="8">
        <v>2.6581E-2</v>
      </c>
      <c r="D68" s="6">
        <f t="shared" si="6"/>
        <v>775832</v>
      </c>
      <c r="E68" s="3">
        <f t="shared" si="7"/>
        <v>55660</v>
      </c>
      <c r="F68" s="4">
        <f t="shared" si="8"/>
        <v>522977</v>
      </c>
      <c r="G68" s="4">
        <f t="shared" si="4"/>
        <v>497466</v>
      </c>
      <c r="H68" s="4">
        <f t="shared" si="9"/>
        <v>3840612</v>
      </c>
      <c r="I68" s="5">
        <f t="shared" si="12"/>
        <v>8.9375853395616236</v>
      </c>
      <c r="J68" s="75">
        <f t="shared" si="11"/>
        <v>8.9375853395616236</v>
      </c>
    </row>
    <row r="69" spans="2:10" x14ac:dyDescent="0.2">
      <c r="B69" s="1">
        <f t="shared" si="10"/>
        <v>75</v>
      </c>
      <c r="C69" s="8">
        <v>2.9309999999999999E-2</v>
      </c>
      <c r="D69" s="6">
        <f t="shared" si="6"/>
        <v>755210</v>
      </c>
      <c r="E69" s="3">
        <f t="shared" si="7"/>
        <v>51601</v>
      </c>
      <c r="F69" s="4">
        <f t="shared" si="8"/>
        <v>467317</v>
      </c>
      <c r="G69" s="4">
        <f t="shared" si="4"/>
        <v>443667</v>
      </c>
      <c r="H69" s="4">
        <f t="shared" si="9"/>
        <v>3317635</v>
      </c>
      <c r="I69" s="5">
        <f t="shared" si="12"/>
        <v>8.5980310459099627</v>
      </c>
      <c r="J69" s="75">
        <f t="shared" si="11"/>
        <v>8.5980310459099627</v>
      </c>
    </row>
    <row r="70" spans="2:10" x14ac:dyDescent="0.2">
      <c r="B70" s="1">
        <f t="shared" si="10"/>
        <v>76</v>
      </c>
      <c r="C70" s="8">
        <v>3.2391999999999997E-2</v>
      </c>
      <c r="D70" s="6">
        <f t="shared" si="6"/>
        <v>733075</v>
      </c>
      <c r="E70" s="3">
        <f t="shared" si="7"/>
        <v>47703</v>
      </c>
      <c r="F70" s="4">
        <f t="shared" si="8"/>
        <v>415716</v>
      </c>
      <c r="G70" s="4">
        <f t="shared" si="4"/>
        <v>393852</v>
      </c>
      <c r="H70" s="4">
        <f t="shared" si="9"/>
        <v>2850318</v>
      </c>
      <c r="I70" s="5">
        <f t="shared" si="12"/>
        <v>8.2563360794918559</v>
      </c>
      <c r="J70" s="75">
        <f t="shared" si="11"/>
        <v>8.2563360794918559</v>
      </c>
    </row>
    <row r="71" spans="2:10" x14ac:dyDescent="0.2">
      <c r="B71" s="1">
        <f t="shared" si="10"/>
        <v>77</v>
      </c>
      <c r="C71" s="8">
        <v>3.6288000000000001E-2</v>
      </c>
      <c r="D71" s="6">
        <f t="shared" si="6"/>
        <v>709329</v>
      </c>
      <c r="E71" s="3">
        <f t="shared" si="7"/>
        <v>43960</v>
      </c>
      <c r="F71" s="4">
        <f t="shared" si="8"/>
        <v>368013</v>
      </c>
      <c r="G71" s="4">
        <f t="shared" si="4"/>
        <v>347865</v>
      </c>
      <c r="H71" s="4">
        <f t="shared" si="9"/>
        <v>2434602</v>
      </c>
      <c r="I71" s="5">
        <f t="shared" si="12"/>
        <v>7.9132165605095546</v>
      </c>
      <c r="J71" s="75">
        <f t="shared" si="11"/>
        <v>7.9132165605095546</v>
      </c>
    </row>
    <row r="72" spans="2:10" x14ac:dyDescent="0.2">
      <c r="B72" s="1">
        <f t="shared" si="10"/>
        <v>78</v>
      </c>
      <c r="C72" s="8">
        <v>4.0635999999999999E-2</v>
      </c>
      <c r="D72" s="6">
        <f t="shared" si="6"/>
        <v>683589</v>
      </c>
      <c r="E72" s="3">
        <f t="shared" si="7"/>
        <v>40347</v>
      </c>
      <c r="F72" s="4">
        <f t="shared" si="8"/>
        <v>324053</v>
      </c>
      <c r="G72" s="4">
        <f t="shared" si="4"/>
        <v>305561</v>
      </c>
      <c r="H72" s="4">
        <f t="shared" si="9"/>
        <v>2066589</v>
      </c>
      <c r="I72" s="5">
        <f t="shared" si="12"/>
        <v>7.5733263935360746</v>
      </c>
      <c r="J72" s="75">
        <f t="shared" si="11"/>
        <v>7.5733263935360746</v>
      </c>
    </row>
    <row r="73" spans="2:10" x14ac:dyDescent="0.2">
      <c r="B73" s="1">
        <f t="shared" si="10"/>
        <v>79</v>
      </c>
      <c r="C73" s="8">
        <v>4.5463000000000003E-2</v>
      </c>
      <c r="D73" s="6">
        <f t="shared" si="6"/>
        <v>655811</v>
      </c>
      <c r="E73" s="3">
        <f t="shared" si="7"/>
        <v>36865</v>
      </c>
      <c r="F73" s="4">
        <f t="shared" si="8"/>
        <v>283706</v>
      </c>
      <c r="G73" s="4">
        <f t="shared" si="4"/>
        <v>266810</v>
      </c>
      <c r="H73" s="4">
        <f t="shared" si="9"/>
        <v>1742536</v>
      </c>
      <c r="I73" s="5">
        <f t="shared" si="12"/>
        <v>7.2374881323748816</v>
      </c>
      <c r="J73" s="75">
        <f t="shared" si="11"/>
        <v>7.2374881323748816</v>
      </c>
    </row>
    <row r="74" spans="2:10" x14ac:dyDescent="0.2">
      <c r="B74" s="1">
        <f t="shared" si="10"/>
        <v>80</v>
      </c>
      <c r="C74" s="8">
        <v>5.0795E-2</v>
      </c>
      <c r="D74" s="6">
        <f t="shared" si="6"/>
        <v>625996</v>
      </c>
      <c r="E74" s="3">
        <f t="shared" si="7"/>
        <v>33513</v>
      </c>
      <c r="F74" s="4">
        <f t="shared" si="8"/>
        <v>246841</v>
      </c>
      <c r="G74" s="4">
        <f t="shared" si="4"/>
        <v>231481</v>
      </c>
      <c r="H74" s="4">
        <f t="shared" si="9"/>
        <v>1458830</v>
      </c>
      <c r="I74" s="5">
        <f t="shared" si="12"/>
        <v>6.9072001909706682</v>
      </c>
      <c r="J74" s="75">
        <f t="shared" si="11"/>
        <v>6.9072001909706682</v>
      </c>
    </row>
    <row r="75" spans="2:10" x14ac:dyDescent="0.2">
      <c r="B75" s="1">
        <f t="shared" si="10"/>
        <v>81</v>
      </c>
      <c r="C75" s="8">
        <v>5.6654999999999997E-2</v>
      </c>
      <c r="D75" s="6">
        <f t="shared" si="6"/>
        <v>594199</v>
      </c>
      <c r="E75" s="3">
        <f t="shared" si="7"/>
        <v>30296</v>
      </c>
      <c r="F75" s="4">
        <f t="shared" si="8"/>
        <v>213328</v>
      </c>
      <c r="G75" s="4">
        <f t="shared" si="4"/>
        <v>199442</v>
      </c>
      <c r="H75" s="4">
        <f t="shared" si="9"/>
        <v>1211989</v>
      </c>
      <c r="I75" s="5">
        <f t="shared" si="12"/>
        <v>6.5831132822814897</v>
      </c>
      <c r="J75" s="75">
        <f t="shared" si="11"/>
        <v>6.5831132822814897</v>
      </c>
    </row>
    <row r="76" spans="2:10" x14ac:dyDescent="0.2">
      <c r="B76" s="1">
        <f t="shared" si="10"/>
        <v>82</v>
      </c>
      <c r="C76" s="8">
        <v>6.3063999999999995E-2</v>
      </c>
      <c r="D76" s="6">
        <f t="shared" si="6"/>
        <v>560535</v>
      </c>
      <c r="E76" s="3">
        <f t="shared" si="7"/>
        <v>27219</v>
      </c>
      <c r="F76" s="4">
        <f t="shared" si="8"/>
        <v>183032</v>
      </c>
      <c r="G76" s="4">
        <f t="shared" si="4"/>
        <v>170557</v>
      </c>
      <c r="H76" s="4">
        <f t="shared" si="9"/>
        <v>998661</v>
      </c>
      <c r="I76" s="5">
        <f t="shared" si="12"/>
        <v>6.2661008854109266</v>
      </c>
      <c r="J76" s="75">
        <f t="shared" si="11"/>
        <v>6.2661008854109266</v>
      </c>
    </row>
    <row r="77" spans="2:10" x14ac:dyDescent="0.2">
      <c r="B77" s="1">
        <f t="shared" si="10"/>
        <v>83</v>
      </c>
      <c r="C77" s="8">
        <v>6.9481000000000001E-2</v>
      </c>
      <c r="D77" s="6">
        <f t="shared" si="6"/>
        <v>525185</v>
      </c>
      <c r="E77" s="3">
        <f t="shared" si="7"/>
        <v>24288</v>
      </c>
      <c r="F77" s="4">
        <f t="shared" si="8"/>
        <v>155813</v>
      </c>
      <c r="G77" s="4">
        <f t="shared" si="4"/>
        <v>144681</v>
      </c>
      <c r="H77" s="4">
        <f t="shared" si="9"/>
        <v>815629</v>
      </c>
      <c r="I77" s="5">
        <f t="shared" si="12"/>
        <v>5.9568922924901182</v>
      </c>
      <c r="J77" s="75">
        <f t="shared" si="11"/>
        <v>5.9568922924901182</v>
      </c>
    </row>
    <row r="78" spans="2:10" x14ac:dyDescent="0.2">
      <c r="B78" s="1">
        <f t="shared" si="10"/>
        <v>84</v>
      </c>
      <c r="C78" s="8">
        <v>7.6538999999999996E-2</v>
      </c>
      <c r="D78" s="6">
        <f t="shared" si="6"/>
        <v>488695</v>
      </c>
      <c r="E78" s="3">
        <f t="shared" si="7"/>
        <v>21524</v>
      </c>
      <c r="F78" s="4">
        <f t="shared" ref="F78:F97" si="13">E78+F79</f>
        <v>131525</v>
      </c>
      <c r="G78" s="4">
        <f t="shared" si="4"/>
        <v>121660</v>
      </c>
      <c r="H78" s="4">
        <f t="shared" ref="H78:H97" si="14">H79+F78</f>
        <v>659816</v>
      </c>
      <c r="I78" s="5">
        <f t="shared" si="12"/>
        <v>5.6522951124326335</v>
      </c>
      <c r="J78" s="75">
        <f t="shared" si="11"/>
        <v>5.6522951124326335</v>
      </c>
    </row>
    <row r="79" spans="2:10" x14ac:dyDescent="0.2">
      <c r="B79" s="1">
        <f t="shared" ref="B79:B98" si="15">1+B78</f>
        <v>85</v>
      </c>
      <c r="C79" s="8">
        <v>8.4128999999999995E-2</v>
      </c>
      <c r="D79" s="6">
        <f t="shared" si="6"/>
        <v>451291</v>
      </c>
      <c r="E79" s="3">
        <f t="shared" si="7"/>
        <v>18930</v>
      </c>
      <c r="F79" s="4">
        <f t="shared" si="13"/>
        <v>110001</v>
      </c>
      <c r="G79" s="4">
        <f t="shared" ref="G79:G98" si="16">ROUND(F79-11/24*E79,0)</f>
        <v>101325</v>
      </c>
      <c r="H79" s="4">
        <f t="shared" si="14"/>
        <v>528291</v>
      </c>
      <c r="I79" s="5">
        <f t="shared" si="12"/>
        <v>5.3526148969889062</v>
      </c>
      <c r="J79" s="75">
        <f t="shared" si="11"/>
        <v>5.3526148969889062</v>
      </c>
    </row>
    <row r="80" spans="2:10" x14ac:dyDescent="0.2">
      <c r="B80" s="1">
        <f t="shared" si="15"/>
        <v>86</v>
      </c>
      <c r="C80" s="8">
        <v>9.2686000000000004E-2</v>
      </c>
      <c r="D80" s="6">
        <f t="shared" ref="D80:D98" si="17">ROUND(D79*(1-C79),0)</f>
        <v>413324</v>
      </c>
      <c r="E80" s="3">
        <f t="shared" ref="E80:E98" si="18">ROUND(D80*(1+E$8)^(B$14-B80),0)</f>
        <v>16512</v>
      </c>
      <c r="F80" s="4">
        <f t="shared" si="13"/>
        <v>91071</v>
      </c>
      <c r="G80" s="4">
        <f t="shared" si="16"/>
        <v>83503</v>
      </c>
      <c r="H80" s="4">
        <f t="shared" si="14"/>
        <v>418290</v>
      </c>
      <c r="I80" s="5">
        <f t="shared" si="12"/>
        <v>5.0571099806201554</v>
      </c>
      <c r="J80" s="75">
        <f t="shared" si="11"/>
        <v>5.0571099806201554</v>
      </c>
    </row>
    <row r="81" spans="2:10" x14ac:dyDescent="0.2">
      <c r="B81" s="1">
        <f t="shared" si="15"/>
        <v>87</v>
      </c>
      <c r="C81" s="8">
        <v>0.10301399999999999</v>
      </c>
      <c r="D81" s="6">
        <f t="shared" si="17"/>
        <v>375015</v>
      </c>
      <c r="E81" s="3">
        <f t="shared" si="18"/>
        <v>14268</v>
      </c>
      <c r="F81" s="4">
        <f t="shared" si="13"/>
        <v>74559</v>
      </c>
      <c r="G81" s="4">
        <f t="shared" si="16"/>
        <v>68020</v>
      </c>
      <c r="H81" s="4">
        <f t="shared" si="14"/>
        <v>327219</v>
      </c>
      <c r="I81" s="5">
        <f t="shared" si="12"/>
        <v>4.7673114662181106</v>
      </c>
      <c r="J81" s="75">
        <f t="shared" si="11"/>
        <v>4.7673114662181106</v>
      </c>
    </row>
    <row r="82" spans="2:10" x14ac:dyDescent="0.2">
      <c r="B82" s="1">
        <f t="shared" si="15"/>
        <v>88</v>
      </c>
      <c r="C82" s="8">
        <v>0.11443399999999999</v>
      </c>
      <c r="D82" s="6">
        <f t="shared" si="17"/>
        <v>336383</v>
      </c>
      <c r="E82" s="3">
        <f t="shared" si="18"/>
        <v>12189</v>
      </c>
      <c r="F82" s="4">
        <f t="shared" si="13"/>
        <v>60291</v>
      </c>
      <c r="G82" s="4">
        <f t="shared" si="16"/>
        <v>54704</v>
      </c>
      <c r="H82" s="4">
        <f t="shared" si="14"/>
        <v>252660</v>
      </c>
      <c r="I82" s="5">
        <f t="shared" si="12"/>
        <v>4.4879809664451553</v>
      </c>
      <c r="J82" s="75">
        <f t="shared" si="11"/>
        <v>4.4879809664451553</v>
      </c>
    </row>
    <row r="83" spans="2:10" x14ac:dyDescent="0.2">
      <c r="B83" s="1">
        <f t="shared" si="15"/>
        <v>89</v>
      </c>
      <c r="C83" s="8">
        <v>0.12692500000000001</v>
      </c>
      <c r="D83" s="6">
        <f t="shared" si="17"/>
        <v>297889</v>
      </c>
      <c r="E83" s="3">
        <f t="shared" si="18"/>
        <v>10280</v>
      </c>
      <c r="F83" s="4">
        <f t="shared" si="13"/>
        <v>48102</v>
      </c>
      <c r="G83" s="4">
        <f t="shared" si="16"/>
        <v>43390</v>
      </c>
      <c r="H83" s="4">
        <f t="shared" si="14"/>
        <v>192369</v>
      </c>
      <c r="I83" s="5">
        <f t="shared" si="12"/>
        <v>4.2208171206225682</v>
      </c>
      <c r="J83" s="75">
        <f t="shared" si="11"/>
        <v>4.2208171206225682</v>
      </c>
    </row>
    <row r="84" spans="2:10" x14ac:dyDescent="0.2">
      <c r="B84" s="1">
        <f t="shared" si="15"/>
        <v>90</v>
      </c>
      <c r="C84" s="8">
        <v>0.14065</v>
      </c>
      <c r="D84" s="6">
        <f t="shared" si="17"/>
        <v>260079</v>
      </c>
      <c r="E84" s="3">
        <f t="shared" si="18"/>
        <v>8548</v>
      </c>
      <c r="F84" s="4">
        <f t="shared" si="13"/>
        <v>37822</v>
      </c>
      <c r="G84" s="4">
        <f t="shared" si="16"/>
        <v>33904</v>
      </c>
      <c r="H84" s="4">
        <f t="shared" si="14"/>
        <v>144267</v>
      </c>
      <c r="I84" s="5">
        <f t="shared" si="12"/>
        <v>3.9663079082826393</v>
      </c>
      <c r="J84" s="75">
        <f t="shared" si="11"/>
        <v>3.9663079082826393</v>
      </c>
    </row>
    <row r="85" spans="2:10" x14ac:dyDescent="0.2">
      <c r="B85" s="1">
        <f t="shared" si="15"/>
        <v>91</v>
      </c>
      <c r="C85" s="8">
        <v>0.154664</v>
      </c>
      <c r="D85" s="6">
        <f t="shared" si="17"/>
        <v>223499</v>
      </c>
      <c r="E85" s="3">
        <f t="shared" si="18"/>
        <v>6996</v>
      </c>
      <c r="F85" s="4">
        <f t="shared" si="13"/>
        <v>29274</v>
      </c>
      <c r="G85" s="4">
        <f t="shared" si="16"/>
        <v>26068</v>
      </c>
      <c r="H85" s="4">
        <f t="shared" si="14"/>
        <v>106445</v>
      </c>
      <c r="I85" s="5">
        <f t="shared" si="12"/>
        <v>3.7261292166952544</v>
      </c>
      <c r="J85" s="75">
        <f t="shared" si="11"/>
        <v>3.7261292166952544</v>
      </c>
    </row>
    <row r="86" spans="2:10" x14ac:dyDescent="0.2">
      <c r="B86" s="1">
        <f t="shared" si="15"/>
        <v>92</v>
      </c>
      <c r="C86" s="8">
        <v>0.17019000000000001</v>
      </c>
      <c r="D86" s="6">
        <f t="shared" si="17"/>
        <v>188932</v>
      </c>
      <c r="E86" s="3">
        <f t="shared" si="18"/>
        <v>5632</v>
      </c>
      <c r="F86" s="4">
        <f t="shared" si="13"/>
        <v>22278</v>
      </c>
      <c r="G86" s="4">
        <f t="shared" si="16"/>
        <v>19697</v>
      </c>
      <c r="H86" s="4">
        <f t="shared" si="14"/>
        <v>77171</v>
      </c>
      <c r="I86" s="5">
        <f t="shared" si="12"/>
        <v>3.4973366477272729</v>
      </c>
      <c r="J86" s="75">
        <f t="shared" si="11"/>
        <v>3.4973366477272729</v>
      </c>
    </row>
    <row r="87" spans="2:10" x14ac:dyDescent="0.2">
      <c r="B87" s="1">
        <f t="shared" si="15"/>
        <v>93</v>
      </c>
      <c r="C87" s="8">
        <v>0.18663099999999999</v>
      </c>
      <c r="D87" s="6">
        <f t="shared" si="17"/>
        <v>156778</v>
      </c>
      <c r="E87" s="3">
        <f t="shared" si="18"/>
        <v>4451</v>
      </c>
      <c r="F87" s="4">
        <f t="shared" si="13"/>
        <v>16646</v>
      </c>
      <c r="G87" s="4">
        <f t="shared" si="16"/>
        <v>14606</v>
      </c>
      <c r="H87" s="4">
        <f t="shared" si="14"/>
        <v>54893</v>
      </c>
      <c r="I87" s="5">
        <f t="shared" si="12"/>
        <v>3.2815097730847</v>
      </c>
      <c r="J87" s="75">
        <f t="shared" si="11"/>
        <v>3.2815097730847</v>
      </c>
    </row>
    <row r="88" spans="2:10" x14ac:dyDescent="0.2">
      <c r="B88" s="1">
        <f t="shared" si="15"/>
        <v>94</v>
      </c>
      <c r="C88" s="8">
        <v>0.203518</v>
      </c>
      <c r="D88" s="6">
        <f t="shared" si="17"/>
        <v>127518</v>
      </c>
      <c r="E88" s="3">
        <f t="shared" si="18"/>
        <v>3448</v>
      </c>
      <c r="F88" s="4">
        <f t="shared" si="13"/>
        <v>12195</v>
      </c>
      <c r="G88" s="4">
        <f t="shared" si="16"/>
        <v>10615</v>
      </c>
      <c r="H88" s="4">
        <f t="shared" si="14"/>
        <v>38247</v>
      </c>
      <c r="I88" s="5">
        <f t="shared" si="12"/>
        <v>3.0785962877030162</v>
      </c>
      <c r="J88" s="75">
        <f t="shared" si="11"/>
        <v>3.0785962877030162</v>
      </c>
    </row>
    <row r="89" spans="2:10" x14ac:dyDescent="0.2">
      <c r="B89" s="1">
        <f t="shared" si="15"/>
        <v>95</v>
      </c>
      <c r="C89" s="8">
        <v>0.22212299999999999</v>
      </c>
      <c r="D89" s="6">
        <f t="shared" si="17"/>
        <v>101566</v>
      </c>
      <c r="E89" s="3">
        <f t="shared" si="18"/>
        <v>2615</v>
      </c>
      <c r="F89" s="4">
        <f t="shared" si="13"/>
        <v>8747</v>
      </c>
      <c r="G89" s="4">
        <f t="shared" si="16"/>
        <v>7548</v>
      </c>
      <c r="H89" s="4">
        <f t="shared" si="14"/>
        <v>26052</v>
      </c>
      <c r="I89" s="5">
        <f t="shared" si="12"/>
        <v>2.8864244741873804</v>
      </c>
      <c r="J89" s="75">
        <f t="shared" si="11"/>
        <v>2.8864244741873804</v>
      </c>
    </row>
    <row r="90" spans="2:10" x14ac:dyDescent="0.2">
      <c r="B90" s="1">
        <f t="shared" si="15"/>
        <v>96</v>
      </c>
      <c r="C90" s="8">
        <v>0.240233</v>
      </c>
      <c r="D90" s="6">
        <f t="shared" si="17"/>
        <v>79006</v>
      </c>
      <c r="E90" s="3">
        <f t="shared" si="18"/>
        <v>1938</v>
      </c>
      <c r="F90" s="4">
        <f t="shared" si="13"/>
        <v>6132</v>
      </c>
      <c r="G90" s="4">
        <f t="shared" si="16"/>
        <v>5244</v>
      </c>
      <c r="H90" s="4">
        <f t="shared" si="14"/>
        <v>17305</v>
      </c>
      <c r="I90" s="5">
        <f t="shared" si="12"/>
        <v>2.7058823529411766</v>
      </c>
    </row>
    <row r="91" spans="2:10" x14ac:dyDescent="0.2">
      <c r="B91" s="1">
        <f t="shared" si="15"/>
        <v>97</v>
      </c>
      <c r="C91" s="8">
        <v>0.25938</v>
      </c>
      <c r="D91" s="6">
        <f t="shared" si="17"/>
        <v>60026</v>
      </c>
      <c r="E91" s="3">
        <f t="shared" si="18"/>
        <v>1402</v>
      </c>
      <c r="F91" s="4">
        <f t="shared" si="13"/>
        <v>4194</v>
      </c>
      <c r="G91" s="4">
        <f t="shared" si="16"/>
        <v>3551</v>
      </c>
      <c r="H91" s="4">
        <f t="shared" si="14"/>
        <v>11173</v>
      </c>
      <c r="I91" s="5">
        <f t="shared" si="12"/>
        <v>2.5328102710413694</v>
      </c>
    </row>
    <row r="92" spans="2:10" x14ac:dyDescent="0.2">
      <c r="B92" s="1">
        <f t="shared" si="15"/>
        <v>98</v>
      </c>
      <c r="C92" s="8">
        <v>0.27893600000000002</v>
      </c>
      <c r="D92" s="6">
        <f t="shared" si="17"/>
        <v>44456</v>
      </c>
      <c r="E92" s="3">
        <f t="shared" si="18"/>
        <v>989</v>
      </c>
      <c r="F92" s="4">
        <f t="shared" si="13"/>
        <v>2792</v>
      </c>
      <c r="G92" s="4">
        <f t="shared" si="16"/>
        <v>2339</v>
      </c>
      <c r="H92" s="4">
        <f t="shared" si="14"/>
        <v>6979</v>
      </c>
      <c r="I92" s="5">
        <f t="shared" si="12"/>
        <v>2.3650151668351871</v>
      </c>
    </row>
    <row r="93" spans="2:10" x14ac:dyDescent="0.2">
      <c r="B93" s="1">
        <f t="shared" si="15"/>
        <v>99</v>
      </c>
      <c r="C93" s="8">
        <v>0.29761399999999999</v>
      </c>
      <c r="D93" s="6">
        <f t="shared" si="17"/>
        <v>32056</v>
      </c>
      <c r="E93" s="3">
        <f t="shared" si="18"/>
        <v>679</v>
      </c>
      <c r="F93" s="4">
        <f t="shared" si="13"/>
        <v>1803</v>
      </c>
      <c r="G93" s="4">
        <f t="shared" si="16"/>
        <v>1492</v>
      </c>
      <c r="H93" s="4">
        <f t="shared" si="14"/>
        <v>4187</v>
      </c>
      <c r="I93" s="5">
        <f t="shared" si="12"/>
        <v>2.1973490427098676</v>
      </c>
    </row>
    <row r="94" spans="2:10" x14ac:dyDescent="0.2">
      <c r="B94" s="1">
        <f t="shared" si="15"/>
        <v>100</v>
      </c>
      <c r="C94" s="8">
        <v>0.31663000000000002</v>
      </c>
      <c r="D94" s="6">
        <f t="shared" si="17"/>
        <v>22516</v>
      </c>
      <c r="E94" s="3">
        <f t="shared" si="18"/>
        <v>454</v>
      </c>
      <c r="F94" s="4">
        <f t="shared" si="13"/>
        <v>1124</v>
      </c>
      <c r="G94" s="4">
        <f t="shared" si="16"/>
        <v>916</v>
      </c>
      <c r="H94" s="4">
        <f t="shared" si="14"/>
        <v>2384</v>
      </c>
      <c r="I94" s="5">
        <f t="shared" si="12"/>
        <v>2.0176211453744495</v>
      </c>
    </row>
    <row r="95" spans="2:10" x14ac:dyDescent="0.2">
      <c r="B95" s="1">
        <f t="shared" si="15"/>
        <v>101</v>
      </c>
      <c r="C95" s="8">
        <v>0.338758</v>
      </c>
      <c r="D95" s="6">
        <f t="shared" si="17"/>
        <v>15387</v>
      </c>
      <c r="E95" s="3">
        <f t="shared" si="18"/>
        <v>296</v>
      </c>
      <c r="F95" s="4">
        <f t="shared" si="13"/>
        <v>670</v>
      </c>
      <c r="G95" s="4">
        <f t="shared" si="16"/>
        <v>534</v>
      </c>
      <c r="H95" s="4">
        <f t="shared" si="14"/>
        <v>1260</v>
      </c>
      <c r="I95" s="5">
        <f t="shared" si="12"/>
        <v>1.8040540540540539</v>
      </c>
    </row>
    <row r="96" spans="2:10" x14ac:dyDescent="0.2">
      <c r="B96" s="1">
        <f t="shared" si="15"/>
        <v>102</v>
      </c>
      <c r="C96" s="8">
        <v>0.35882999999999998</v>
      </c>
      <c r="D96" s="6">
        <f t="shared" si="17"/>
        <v>10175</v>
      </c>
      <c r="E96" s="3">
        <f t="shared" si="18"/>
        <v>186</v>
      </c>
      <c r="F96" s="4">
        <f t="shared" si="13"/>
        <v>374</v>
      </c>
      <c r="G96" s="4">
        <f t="shared" si="16"/>
        <v>289</v>
      </c>
      <c r="H96" s="4">
        <f t="shared" si="14"/>
        <v>590</v>
      </c>
      <c r="I96" s="5">
        <f t="shared" si="12"/>
        <v>1.553763440860215</v>
      </c>
    </row>
    <row r="97" spans="2:9" x14ac:dyDescent="0.2">
      <c r="B97" s="1">
        <f t="shared" si="15"/>
        <v>103</v>
      </c>
      <c r="C97" s="8">
        <v>0.38073499999999999</v>
      </c>
      <c r="D97" s="6">
        <f t="shared" si="17"/>
        <v>6524</v>
      </c>
      <c r="E97" s="3">
        <f t="shared" si="18"/>
        <v>114</v>
      </c>
      <c r="F97" s="4">
        <f t="shared" si="13"/>
        <v>188</v>
      </c>
      <c r="G97" s="4">
        <f t="shared" si="16"/>
        <v>136</v>
      </c>
      <c r="H97" s="4">
        <f t="shared" si="14"/>
        <v>216</v>
      </c>
      <c r="I97" s="5">
        <f t="shared" si="12"/>
        <v>1.1929824561403508</v>
      </c>
    </row>
    <row r="98" spans="2:9" x14ac:dyDescent="0.2">
      <c r="B98" s="1">
        <f t="shared" si="15"/>
        <v>104</v>
      </c>
      <c r="C98" s="8">
        <v>0.40442600000000001</v>
      </c>
      <c r="D98" s="6">
        <f t="shared" si="17"/>
        <v>4040</v>
      </c>
      <c r="E98" s="3">
        <f t="shared" si="18"/>
        <v>67</v>
      </c>
      <c r="F98" s="4">
        <f>7+E98</f>
        <v>74</v>
      </c>
      <c r="G98" s="4">
        <f t="shared" si="16"/>
        <v>43</v>
      </c>
      <c r="H98">
        <v>28</v>
      </c>
      <c r="I98" s="5">
        <f t="shared" si="12"/>
        <v>0.64179104477611937</v>
      </c>
    </row>
  </sheetData>
  <phoneticPr fontId="0" type="noConversion"/>
  <pageMargins left="0.5" right="0.5" top="0.75" bottom="0.75"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topLeftCell="A19" zoomScaleNormal="100" workbookViewId="0">
      <selection activeCell="E5" sqref="E5"/>
    </sheetView>
  </sheetViews>
  <sheetFormatPr defaultRowHeight="15.75" x14ac:dyDescent="0.25"/>
  <cols>
    <col min="1" max="2" width="4" style="10" customWidth="1"/>
    <col min="3" max="3" width="12" style="10" bestFit="1" customWidth="1"/>
    <col min="4" max="4" width="9.5703125" style="10" bestFit="1" customWidth="1"/>
    <col min="5" max="5" width="14.28515625" style="10" bestFit="1" customWidth="1"/>
    <col min="6" max="6" width="14.140625" style="10" bestFit="1" customWidth="1"/>
    <col min="7" max="7" width="7.7109375" style="10" customWidth="1"/>
    <col min="8" max="8" width="13.5703125" style="10" customWidth="1"/>
    <col min="9" max="10" width="16.5703125" style="10" bestFit="1" customWidth="1"/>
    <col min="11" max="11" width="13" style="10" customWidth="1"/>
    <col min="12" max="12" width="6.28515625" style="10" customWidth="1"/>
    <col min="13" max="13" width="12.28515625" style="10" customWidth="1"/>
    <col min="14" max="14" width="12.5703125" style="10" bestFit="1" customWidth="1"/>
    <col min="15" max="15" width="8.28515625" style="10" customWidth="1"/>
    <col min="16" max="16" width="13.5703125" style="10" customWidth="1"/>
    <col min="17" max="17" width="15.7109375" style="10" bestFit="1" customWidth="1"/>
    <col min="18" max="18" width="14.28515625" style="10" bestFit="1" customWidth="1"/>
    <col min="19" max="19" width="14.28515625" style="10" customWidth="1"/>
    <col min="20" max="20" width="14.5703125" style="10" customWidth="1"/>
    <col min="21" max="21" width="13.42578125" style="10" customWidth="1"/>
    <col min="22" max="22" width="7.140625" style="10" customWidth="1"/>
    <col min="23" max="23" width="7.42578125" style="10" customWidth="1"/>
    <col min="24" max="24" width="12.7109375" style="10" customWidth="1"/>
    <col min="25" max="25" width="14.28515625" style="10" customWidth="1"/>
    <col min="26" max="27" width="12.7109375" style="10" customWidth="1"/>
    <col min="28" max="28" width="7.140625" style="10" customWidth="1"/>
    <col min="29" max="29" width="10.42578125" style="10" customWidth="1"/>
    <col min="30" max="30" width="11.85546875" style="10" customWidth="1"/>
    <col min="31" max="31" width="7.140625" style="10" customWidth="1"/>
    <col min="32" max="33" width="9.140625" style="10"/>
    <col min="34" max="34" width="11.140625" style="10" bestFit="1" customWidth="1"/>
    <col min="35" max="35" width="12.5703125" style="10" customWidth="1"/>
    <col min="36" max="36" width="11.85546875" style="10" bestFit="1" customWidth="1"/>
    <col min="37" max="37" width="14" style="10" bestFit="1" customWidth="1"/>
    <col min="38" max="16384" width="9.140625" style="10"/>
  </cols>
  <sheetData>
    <row r="1" spans="1:16" ht="18.75" x14ac:dyDescent="0.3">
      <c r="A1" s="14" t="s">
        <v>167</v>
      </c>
      <c r="B1" s="14"/>
      <c r="C1" s="14"/>
      <c r="D1" s="14"/>
      <c r="E1" s="14"/>
      <c r="F1" s="14"/>
      <c r="G1" s="14"/>
      <c r="H1" s="14"/>
    </row>
    <row r="2" spans="1:16" ht="18.75" x14ac:dyDescent="0.3">
      <c r="A2" s="14" t="s">
        <v>18</v>
      </c>
      <c r="B2" s="14"/>
      <c r="C2" s="14"/>
      <c r="D2" s="14"/>
      <c r="E2" s="14"/>
      <c r="F2" s="14"/>
      <c r="G2" s="14"/>
      <c r="H2" s="14"/>
    </row>
    <row r="3" spans="1:16" x14ac:dyDescent="0.25">
      <c r="I3" s="15"/>
    </row>
    <row r="4" spans="1:16" x14ac:dyDescent="0.25">
      <c r="A4" s="10" t="s">
        <v>35</v>
      </c>
      <c r="B4" s="10" t="s">
        <v>36</v>
      </c>
      <c r="I4" s="15"/>
    </row>
    <row r="5" spans="1:16" x14ac:dyDescent="0.25">
      <c r="B5" s="16" t="s">
        <v>37</v>
      </c>
      <c r="C5" s="10" t="s">
        <v>14</v>
      </c>
      <c r="H5" s="36">
        <f>Calculator!E20</f>
        <v>20</v>
      </c>
      <c r="J5" s="17"/>
      <c r="N5" s="18"/>
      <c r="O5" s="18"/>
      <c r="P5" s="18"/>
    </row>
    <row r="6" spans="1:16" x14ac:dyDescent="0.25">
      <c r="B6" s="16" t="s">
        <v>38</v>
      </c>
      <c r="C6" s="10" t="s">
        <v>15</v>
      </c>
      <c r="H6" s="37" t="s">
        <v>6</v>
      </c>
      <c r="J6" s="17"/>
      <c r="N6" s="18"/>
      <c r="O6" s="18"/>
      <c r="P6" s="18"/>
    </row>
    <row r="7" spans="1:16" x14ac:dyDescent="0.25">
      <c r="B7" s="16" t="s">
        <v>39</v>
      </c>
      <c r="C7" s="10" t="s">
        <v>16</v>
      </c>
      <c r="H7" s="38">
        <f>Calculator!E28</f>
        <v>0.01</v>
      </c>
      <c r="J7" s="19"/>
      <c r="M7" s="20"/>
      <c r="N7" s="20"/>
      <c r="O7" s="18"/>
      <c r="P7" s="18"/>
    </row>
    <row r="8" spans="1:16" x14ac:dyDescent="0.25">
      <c r="B8" s="16" t="s">
        <v>40</v>
      </c>
      <c r="C8" s="10" t="s">
        <v>17</v>
      </c>
      <c r="H8" s="38">
        <f>Calculator!E30</f>
        <v>0.05</v>
      </c>
      <c r="J8" s="21"/>
      <c r="M8" s="20"/>
      <c r="N8" s="20"/>
      <c r="O8" s="18"/>
      <c r="P8" s="18"/>
    </row>
    <row r="9" spans="1:16" x14ac:dyDescent="0.25">
      <c r="B9" s="16" t="s">
        <v>41</v>
      </c>
      <c r="C9" s="10" t="s">
        <v>26</v>
      </c>
      <c r="H9" s="39">
        <f>Calculator!E24</f>
        <v>30000</v>
      </c>
      <c r="J9" s="19"/>
      <c r="M9" s="20"/>
      <c r="N9" s="20"/>
      <c r="O9" s="18"/>
      <c r="P9" s="18"/>
    </row>
    <row r="10" spans="1:16" x14ac:dyDescent="0.25">
      <c r="B10" s="16" t="s">
        <v>42</v>
      </c>
      <c r="C10" s="24" t="s">
        <v>176</v>
      </c>
      <c r="D10" s="24"/>
      <c r="E10" s="24"/>
      <c r="F10" s="24"/>
      <c r="H10" s="40">
        <f>'Inputs for RSU'!E4</f>
        <v>0.09</v>
      </c>
      <c r="M10" s="20"/>
      <c r="N10" s="20"/>
    </row>
    <row r="11" spans="1:16" x14ac:dyDescent="0.25">
      <c r="B11" s="16" t="s">
        <v>45</v>
      </c>
      <c r="C11" s="10" t="s">
        <v>162</v>
      </c>
      <c r="H11" s="40">
        <f>Calculator!E26</f>
        <v>0</v>
      </c>
      <c r="M11" s="20"/>
      <c r="N11" s="20"/>
    </row>
    <row r="12" spans="1:16" x14ac:dyDescent="0.25">
      <c r="B12" s="16" t="s">
        <v>51</v>
      </c>
      <c r="C12" s="10" t="s">
        <v>50</v>
      </c>
      <c r="H12" s="39">
        <f>ROUND('Inputs for RSU'!E5*12,0)</f>
        <v>5993</v>
      </c>
    </row>
    <row r="13" spans="1:16" x14ac:dyDescent="0.25">
      <c r="B13" s="16" t="s">
        <v>53</v>
      </c>
      <c r="C13" s="10" t="s">
        <v>52</v>
      </c>
      <c r="H13" s="39">
        <f>ROUND(('Inputs for RSU'!E7/1000)*12*H9,0)</f>
        <v>76</v>
      </c>
      <c r="J13" s="22"/>
      <c r="M13" s="20"/>
      <c r="N13" s="20"/>
    </row>
    <row r="14" spans="1:16" x14ac:dyDescent="0.25">
      <c r="B14" s="16" t="s">
        <v>54</v>
      </c>
      <c r="C14" s="10" t="s">
        <v>19</v>
      </c>
      <c r="H14" s="39">
        <f>ROUND(('Inputs for RSU'!E8/1000)*12*H9,0)</f>
        <v>0</v>
      </c>
      <c r="J14" s="23"/>
    </row>
    <row r="15" spans="1:16" x14ac:dyDescent="0.25">
      <c r="B15" s="16" t="s">
        <v>55</v>
      </c>
      <c r="C15" s="10" t="s">
        <v>20</v>
      </c>
      <c r="E15" s="10" t="s">
        <v>27</v>
      </c>
      <c r="H15" s="39">
        <f>ROUND(('Inputs for RSU'!E9/1000)*H9*0.5,0)</f>
        <v>22</v>
      </c>
      <c r="J15" s="23"/>
    </row>
    <row r="16" spans="1:16" x14ac:dyDescent="0.25">
      <c r="B16" s="16" t="s">
        <v>56</v>
      </c>
      <c r="C16" s="24" t="s">
        <v>21</v>
      </c>
      <c r="H16" s="39">
        <f>H12+H13+H14+H15</f>
        <v>6091</v>
      </c>
      <c r="J16" s="23"/>
    </row>
    <row r="17" spans="1:34" x14ac:dyDescent="0.25">
      <c r="B17" s="16" t="s">
        <v>57</v>
      </c>
      <c r="C17" s="24" t="s">
        <v>22</v>
      </c>
      <c r="H17" s="39">
        <f>ROUND(H16/0.93,0)</f>
        <v>6549</v>
      </c>
      <c r="J17" s="23"/>
    </row>
    <row r="18" spans="1:34" x14ac:dyDescent="0.25">
      <c r="B18" s="16" t="s">
        <v>156</v>
      </c>
      <c r="C18" s="10" t="s">
        <v>28</v>
      </c>
      <c r="H18" s="26">
        <f>Calculator!E26</f>
        <v>0</v>
      </c>
      <c r="J18" s="23"/>
      <c r="K18" s="18"/>
    </row>
    <row r="19" spans="1:34" x14ac:dyDescent="0.25">
      <c r="B19" s="16" t="s">
        <v>161</v>
      </c>
      <c r="C19" s="10" t="s">
        <v>157</v>
      </c>
      <c r="H19" s="11">
        <v>0.75</v>
      </c>
      <c r="J19" s="23"/>
      <c r="K19" s="18"/>
    </row>
    <row r="20" spans="1:34" x14ac:dyDescent="0.25">
      <c r="J20" s="23"/>
    </row>
    <row r="21" spans="1:34" x14ac:dyDescent="0.25">
      <c r="A21" s="10" t="s">
        <v>49</v>
      </c>
      <c r="B21" s="10" t="s">
        <v>58</v>
      </c>
      <c r="F21" s="25"/>
      <c r="J21" s="23"/>
    </row>
    <row r="22" spans="1:34" x14ac:dyDescent="0.25">
      <c r="B22" s="16" t="s">
        <v>37</v>
      </c>
      <c r="C22" s="10" t="s">
        <v>23</v>
      </c>
      <c r="F22" s="25"/>
      <c r="H22" s="39">
        <f>H17+H9</f>
        <v>36549</v>
      </c>
      <c r="J22" s="23"/>
    </row>
    <row r="23" spans="1:34" x14ac:dyDescent="0.25">
      <c r="B23" s="16" t="s">
        <v>38</v>
      </c>
      <c r="C23" s="10" t="s">
        <v>24</v>
      </c>
      <c r="H23" s="39">
        <f>ROUND(0.07*H22,0)</f>
        <v>2558</v>
      </c>
      <c r="I23" s="18"/>
      <c r="J23" s="18"/>
    </row>
    <row r="24" spans="1:34" x14ac:dyDescent="0.25">
      <c r="B24" s="16" t="s">
        <v>39</v>
      </c>
      <c r="C24" s="10" t="s">
        <v>25</v>
      </c>
      <c r="H24" s="25">
        <f>ROUND(H23/H9,4)</f>
        <v>8.5300000000000001E-2</v>
      </c>
      <c r="I24" s="18"/>
      <c r="J24" s="18"/>
    </row>
    <row r="26" spans="1:34" x14ac:dyDescent="0.25">
      <c r="D26" s="27" t="s">
        <v>7</v>
      </c>
      <c r="K26" s="20"/>
    </row>
    <row r="27" spans="1:34" x14ac:dyDescent="0.25">
      <c r="D27" s="15">
        <v>1</v>
      </c>
      <c r="E27" s="15">
        <f>1+D27</f>
        <v>2</v>
      </c>
      <c r="F27" s="15">
        <f t="shared" ref="F27:AB27" si="0">1+E27</f>
        <v>3</v>
      </c>
      <c r="G27" s="15">
        <f t="shared" si="0"/>
        <v>4</v>
      </c>
      <c r="H27" s="15">
        <f t="shared" si="0"/>
        <v>5</v>
      </c>
      <c r="I27" s="15">
        <f t="shared" si="0"/>
        <v>6</v>
      </c>
      <c r="J27" s="15">
        <f t="shared" si="0"/>
        <v>7</v>
      </c>
      <c r="K27" s="15">
        <f t="shared" si="0"/>
        <v>8</v>
      </c>
      <c r="L27" s="15">
        <f t="shared" si="0"/>
        <v>9</v>
      </c>
      <c r="M27" s="15">
        <f t="shared" si="0"/>
        <v>10</v>
      </c>
      <c r="N27" s="15">
        <f t="shared" si="0"/>
        <v>11</v>
      </c>
      <c r="O27" s="15">
        <f>1+N27</f>
        <v>12</v>
      </c>
      <c r="P27" s="15">
        <f t="shared" si="0"/>
        <v>13</v>
      </c>
      <c r="Q27" s="15">
        <f t="shared" si="0"/>
        <v>14</v>
      </c>
      <c r="R27" s="15">
        <f t="shared" si="0"/>
        <v>15</v>
      </c>
      <c r="S27" s="15">
        <f t="shared" si="0"/>
        <v>16</v>
      </c>
      <c r="T27" s="15">
        <f t="shared" si="0"/>
        <v>17</v>
      </c>
      <c r="U27" s="15">
        <f t="shared" si="0"/>
        <v>18</v>
      </c>
      <c r="V27" s="15">
        <f t="shared" si="0"/>
        <v>19</v>
      </c>
      <c r="W27" s="15">
        <f t="shared" si="0"/>
        <v>20</v>
      </c>
      <c r="X27" s="15">
        <f t="shared" si="0"/>
        <v>21</v>
      </c>
      <c r="Y27" s="15">
        <f t="shared" si="0"/>
        <v>22</v>
      </c>
      <c r="Z27" s="15">
        <f t="shared" si="0"/>
        <v>23</v>
      </c>
      <c r="AA27" s="15">
        <f t="shared" si="0"/>
        <v>24</v>
      </c>
      <c r="AB27" s="15">
        <f t="shared" si="0"/>
        <v>25</v>
      </c>
      <c r="AC27" s="29">
        <f t="shared" ref="AC27" si="1">1+AB27</f>
        <v>26</v>
      </c>
      <c r="AD27" s="29">
        <f t="shared" ref="AD27" si="2">1+AC27</f>
        <v>27</v>
      </c>
      <c r="AE27" s="29">
        <f t="shared" ref="AE27" si="3">1+AD27</f>
        <v>28</v>
      </c>
      <c r="AF27" s="29">
        <f t="shared" ref="AF27" si="4">1+AE27</f>
        <v>29</v>
      </c>
      <c r="AG27" s="29">
        <f t="shared" ref="AG27" si="5">1+AF27</f>
        <v>30</v>
      </c>
      <c r="AH27" s="29">
        <f t="shared" ref="AH27" si="6">1+AG27</f>
        <v>31</v>
      </c>
    </row>
    <row r="28" spans="1:34" x14ac:dyDescent="0.25">
      <c r="K28" s="20"/>
    </row>
    <row r="29" spans="1:34" x14ac:dyDescent="0.25">
      <c r="N29" s="29" t="s">
        <v>129</v>
      </c>
      <c r="P29" s="99"/>
      <c r="Q29" s="100"/>
      <c r="R29" s="100"/>
      <c r="S29" s="100"/>
      <c r="T29" s="100"/>
      <c r="U29" s="100"/>
      <c r="AC29" s="69" t="s">
        <v>91</v>
      </c>
      <c r="AD29" s="69"/>
      <c r="AF29" s="69" t="s">
        <v>110</v>
      </c>
      <c r="AG29" s="69"/>
    </row>
    <row r="30" spans="1:34" ht="16.5" thickBot="1" x14ac:dyDescent="0.3">
      <c r="H30" s="67" t="s">
        <v>93</v>
      </c>
      <c r="I30" s="67"/>
      <c r="J30" s="67"/>
      <c r="K30" s="67"/>
      <c r="M30" s="29" t="s">
        <v>0</v>
      </c>
      <c r="N30" s="29" t="s">
        <v>130</v>
      </c>
      <c r="P30" s="67" t="s">
        <v>82</v>
      </c>
      <c r="Q30" s="67"/>
      <c r="R30" s="67"/>
      <c r="S30" s="67"/>
      <c r="T30" s="67"/>
      <c r="U30" s="67"/>
      <c r="X30" s="67" t="s">
        <v>84</v>
      </c>
      <c r="Y30" s="67"/>
      <c r="Z30" s="67"/>
      <c r="AA30" s="67"/>
      <c r="AC30" s="67" t="s">
        <v>92</v>
      </c>
      <c r="AD30" s="67"/>
      <c r="AF30" s="67" t="s">
        <v>111</v>
      </c>
      <c r="AG30" s="67"/>
    </row>
    <row r="31" spans="1:34" x14ac:dyDescent="0.25">
      <c r="F31" s="39">
        <f>AVERAGE(F38:F42)</f>
        <v>38036.6</v>
      </c>
      <c r="M31" s="29" t="s">
        <v>69</v>
      </c>
      <c r="N31" s="29" t="s">
        <v>134</v>
      </c>
      <c r="Q31" s="28">
        <v>0.08</v>
      </c>
      <c r="T31" s="15" t="s">
        <v>78</v>
      </c>
      <c r="U31" s="29" t="s">
        <v>67</v>
      </c>
      <c r="AA31" s="29" t="s">
        <v>67</v>
      </c>
    </row>
    <row r="32" spans="1:34" x14ac:dyDescent="0.25">
      <c r="D32" s="17" t="s">
        <v>59</v>
      </c>
      <c r="G32" s="17"/>
      <c r="H32" s="31"/>
      <c r="I32" s="18"/>
      <c r="J32" s="32" t="s">
        <v>66</v>
      </c>
      <c r="K32" s="79" t="s">
        <v>67</v>
      </c>
      <c r="L32" s="32"/>
      <c r="M32" s="29" t="s">
        <v>70</v>
      </c>
      <c r="N32" s="29" t="s">
        <v>131</v>
      </c>
      <c r="P32" s="15" t="s">
        <v>0</v>
      </c>
      <c r="Q32" s="66" t="s">
        <v>74</v>
      </c>
      <c r="R32" s="66"/>
      <c r="T32" s="15" t="s">
        <v>79</v>
      </c>
      <c r="U32" s="29" t="s">
        <v>68</v>
      </c>
      <c r="X32" s="82">
        <f>H11</f>
        <v>0</v>
      </c>
      <c r="Y32" s="29" t="s">
        <v>86</v>
      </c>
      <c r="Z32" s="29" t="s">
        <v>66</v>
      </c>
      <c r="AA32" s="29" t="s">
        <v>68</v>
      </c>
    </row>
    <row r="33" spans="4:37" x14ac:dyDescent="0.25">
      <c r="D33" s="17" t="s">
        <v>145</v>
      </c>
      <c r="E33" s="15" t="s">
        <v>60</v>
      </c>
      <c r="F33" s="15" t="s">
        <v>62</v>
      </c>
      <c r="G33" s="17"/>
      <c r="H33" s="15" t="s">
        <v>64</v>
      </c>
      <c r="I33" s="15" t="s">
        <v>72</v>
      </c>
      <c r="J33" s="15" t="s">
        <v>72</v>
      </c>
      <c r="K33" s="79" t="s">
        <v>125</v>
      </c>
      <c r="L33" s="32"/>
      <c r="M33" s="29" t="s">
        <v>127</v>
      </c>
      <c r="N33" s="29" t="s">
        <v>132</v>
      </c>
      <c r="P33" s="29" t="s">
        <v>71</v>
      </c>
      <c r="Q33" s="15" t="s">
        <v>75</v>
      </c>
      <c r="R33" s="15" t="s">
        <v>76</v>
      </c>
      <c r="S33" s="33" t="s">
        <v>73</v>
      </c>
      <c r="T33" s="15" t="s">
        <v>80</v>
      </c>
      <c r="U33" s="29" t="s">
        <v>83</v>
      </c>
      <c r="X33" s="15" t="s">
        <v>85</v>
      </c>
      <c r="Y33" s="15" t="s">
        <v>87</v>
      </c>
      <c r="Z33" s="15" t="s">
        <v>86</v>
      </c>
      <c r="AA33" s="29" t="s">
        <v>83</v>
      </c>
      <c r="AB33" s="15"/>
      <c r="AC33" s="29" t="s">
        <v>88</v>
      </c>
      <c r="AD33" s="29"/>
      <c r="AF33" s="29"/>
      <c r="AG33" s="29" t="s">
        <v>121</v>
      </c>
      <c r="AH33" s="29" t="s">
        <v>113</v>
      </c>
      <c r="AI33" s="29" t="s">
        <v>117</v>
      </c>
      <c r="AJ33" s="29" t="s">
        <v>118</v>
      </c>
      <c r="AK33" s="29" t="s">
        <v>119</v>
      </c>
    </row>
    <row r="34" spans="4:37" x14ac:dyDescent="0.25">
      <c r="D34" s="17" t="s">
        <v>146</v>
      </c>
      <c r="E34" s="15" t="s">
        <v>61</v>
      </c>
      <c r="F34" s="15" t="s">
        <v>63</v>
      </c>
      <c r="G34" s="17"/>
      <c r="H34" s="15" t="s">
        <v>46</v>
      </c>
      <c r="I34" s="15" t="s">
        <v>65</v>
      </c>
      <c r="J34" s="15" t="s">
        <v>65</v>
      </c>
      <c r="K34" s="80" t="s">
        <v>126</v>
      </c>
      <c r="L34" s="32"/>
      <c r="M34" s="29" t="s">
        <v>128</v>
      </c>
      <c r="N34" s="29" t="s">
        <v>133</v>
      </c>
      <c r="O34" s="17" t="s">
        <v>59</v>
      </c>
      <c r="P34" s="29" t="s">
        <v>46</v>
      </c>
      <c r="Q34" s="15" t="s">
        <v>73</v>
      </c>
      <c r="R34" s="15" t="s">
        <v>73</v>
      </c>
      <c r="S34" s="29" t="s">
        <v>77</v>
      </c>
      <c r="T34" s="15" t="s">
        <v>81</v>
      </c>
      <c r="U34" s="29" t="s">
        <v>116</v>
      </c>
      <c r="W34" s="17" t="s">
        <v>59</v>
      </c>
      <c r="X34" s="15" t="s">
        <v>46</v>
      </c>
      <c r="Y34" s="15" t="s">
        <v>81</v>
      </c>
      <c r="Z34" s="15" t="s">
        <v>65</v>
      </c>
      <c r="AA34" s="29" t="s">
        <v>116</v>
      </c>
      <c r="AB34" s="15"/>
      <c r="AC34" s="29" t="s">
        <v>89</v>
      </c>
      <c r="AD34" s="29" t="s">
        <v>90</v>
      </c>
      <c r="AF34" s="29" t="s">
        <v>59</v>
      </c>
      <c r="AG34" s="29" t="s">
        <v>112</v>
      </c>
      <c r="AH34" s="29" t="s">
        <v>70</v>
      </c>
      <c r="AI34" s="29" t="s">
        <v>70</v>
      </c>
      <c r="AJ34" s="29" t="s">
        <v>112</v>
      </c>
      <c r="AK34" s="29" t="s">
        <v>120</v>
      </c>
    </row>
    <row r="35" spans="4:37" x14ac:dyDescent="0.25">
      <c r="D35" s="27"/>
      <c r="F35" s="39">
        <f>+F36</f>
        <v>36549</v>
      </c>
      <c r="K35" s="27"/>
      <c r="L35" s="18"/>
      <c r="M35" s="27"/>
      <c r="N35" s="27"/>
      <c r="O35" s="27"/>
      <c r="U35" s="27"/>
      <c r="W35" s="27"/>
    </row>
    <row r="36" spans="4:37" x14ac:dyDescent="0.25">
      <c r="D36" s="17">
        <f>H5</f>
        <v>20</v>
      </c>
      <c r="E36" s="34">
        <f>H9</f>
        <v>30000</v>
      </c>
      <c r="F36" s="34">
        <f t="shared" ref="F36:F67" si="7">ROUND(H$22*(1+H$7)^(D36-D$36),0)</f>
        <v>36549</v>
      </c>
      <c r="G36" s="15"/>
      <c r="H36" s="97">
        <f>ROUND(F35*$H$10*H19,0)</f>
        <v>2467</v>
      </c>
      <c r="I36" s="97">
        <f>ROUND(H36*(1+$H$8)^(0.5*H19)+I35*(1+$H$8),0)</f>
        <v>2513</v>
      </c>
      <c r="J36" s="34">
        <f>I36</f>
        <v>2513</v>
      </c>
      <c r="K36" s="34">
        <f>ROUND(J36/VLOOKUP($D36,'Life Annuity Factors'!$B$14:$I$98,8),0)</f>
        <v>2109</v>
      </c>
      <c r="L36" s="12"/>
      <c r="M36" s="68">
        <v>0</v>
      </c>
      <c r="N36" s="68">
        <f>VLOOKUP(D36,'Life Annuity Factors'!$B$14:$I$98,8)*M36</f>
        <v>0</v>
      </c>
      <c r="O36" s="17">
        <f t="shared" ref="O36:O67" si="8">D36</f>
        <v>20</v>
      </c>
      <c r="P36" s="98">
        <f>ROUND(F35*0.07*H19,0)</f>
        <v>1919</v>
      </c>
      <c r="Q36" s="98">
        <f>ROUND(Q35*(1+$Q$31)+P36*(1+$Q$31)^(0.5*H19),0)</f>
        <v>1975</v>
      </c>
      <c r="R36" s="39">
        <f>R35+P36</f>
        <v>1919</v>
      </c>
      <c r="S36" s="39">
        <f>Q36-R36</f>
        <v>56</v>
      </c>
      <c r="T36" s="39">
        <f t="shared" ref="T36:T67" si="9">ROUND(AD36*S36+R36,0)</f>
        <v>1947</v>
      </c>
      <c r="U36" s="39">
        <f>ROUND(T35/VLOOKUP($D36,'Life Annuity Factors'!$B$14:$I$98,8),0)</f>
        <v>0</v>
      </c>
      <c r="W36" s="17">
        <f>O36</f>
        <v>20</v>
      </c>
      <c r="X36" s="39">
        <f>ROUND(X$32*E35,0)</f>
        <v>0</v>
      </c>
      <c r="Y36" s="39">
        <f>ROUND(X36*(1+$H$8)^0.5+Y35*(1+$H$8),0)</f>
        <v>0</v>
      </c>
      <c r="Z36" s="39">
        <f>Y36</f>
        <v>0</v>
      </c>
      <c r="AA36" s="39">
        <f>ROUND(Z36/VLOOKUP($D36,'Life Annuity Factors'!$B$14:$I$98,8),0)</f>
        <v>0</v>
      </c>
      <c r="AB36" s="30"/>
      <c r="AC36" s="29">
        <f t="shared" ref="AC36:AC67" si="10">D36-$D$36</f>
        <v>0</v>
      </c>
      <c r="AD36" s="33">
        <v>0.5</v>
      </c>
    </row>
    <row r="37" spans="4:37" x14ac:dyDescent="0.25">
      <c r="D37" s="17">
        <f>D36+1</f>
        <v>21</v>
      </c>
      <c r="E37" s="34">
        <f t="shared" ref="E37:E68" si="11">ROUND(E36*(1+H$7),0)</f>
        <v>30300</v>
      </c>
      <c r="F37" s="34">
        <f t="shared" si="7"/>
        <v>36914</v>
      </c>
      <c r="G37" s="29"/>
      <c r="H37" s="97">
        <f>ROUND(F36*$H$10,0)</f>
        <v>3289</v>
      </c>
      <c r="I37" s="97">
        <f>ROUND(H37*(1+$H$8)^0.5+I36*(1+$H$8),0)</f>
        <v>6009</v>
      </c>
      <c r="J37" s="34">
        <f>I37</f>
        <v>6009</v>
      </c>
      <c r="K37" s="34">
        <f>ROUND(J37/VLOOKUP($D37,'Life Annuity Factors'!$B$14:$I$98,8),0)</f>
        <v>4800</v>
      </c>
      <c r="L37" s="12"/>
      <c r="M37" s="68">
        <v>0</v>
      </c>
      <c r="N37" s="68">
        <f>VLOOKUP(D37,'Life Annuity Factors'!$B$14:$I$98,8)*M37</f>
        <v>0</v>
      </c>
      <c r="O37" s="17">
        <f t="shared" si="8"/>
        <v>21</v>
      </c>
      <c r="P37" s="98">
        <f>ROUND(F36*0.07,0)</f>
        <v>2558</v>
      </c>
      <c r="Q37" s="98">
        <f t="shared" ref="Q37:Q86" si="12">ROUND(Q36*(1+$Q$31)+P37*(1+$Q$31)^0.5,0)</f>
        <v>4791</v>
      </c>
      <c r="R37" s="39">
        <f t="shared" ref="R37:R63" si="13">R36+P37</f>
        <v>4477</v>
      </c>
      <c r="S37" s="39">
        <f t="shared" ref="S37:S63" si="14">Q37-R37</f>
        <v>314</v>
      </c>
      <c r="T37" s="39">
        <f t="shared" si="9"/>
        <v>4634</v>
      </c>
      <c r="U37" s="39">
        <f>ROUND(T37/VLOOKUP($D37,'Life Annuity Factors'!$B$14:$I$98,8),0)</f>
        <v>3702</v>
      </c>
      <c r="W37" s="17">
        <f t="shared" ref="W37:W86" si="15">O37</f>
        <v>21</v>
      </c>
      <c r="X37" s="39">
        <f t="shared" ref="X37:X86" si="16">ROUND(X$32*E36,0)</f>
        <v>0</v>
      </c>
      <c r="Y37" s="39">
        <f t="shared" ref="Y37:Y86" si="17">ROUND(X37*(1+$H$8)^0.5+Y36*(1+$H$8),0)</f>
        <v>0</v>
      </c>
      <c r="Z37" s="39">
        <f>Y37</f>
        <v>0</v>
      </c>
      <c r="AA37" s="39">
        <f>ROUND(Z37/VLOOKUP($D37,'Life Annuity Factors'!$B$14:$I$98,8),0)</f>
        <v>0</v>
      </c>
      <c r="AB37" s="30"/>
      <c r="AC37" s="29">
        <f t="shared" si="10"/>
        <v>1</v>
      </c>
      <c r="AD37" s="33">
        <v>0.5</v>
      </c>
    </row>
    <row r="38" spans="4:37" x14ac:dyDescent="0.25">
      <c r="D38" s="17">
        <f t="shared" ref="D38:D63" si="18">1+D37</f>
        <v>22</v>
      </c>
      <c r="E38" s="34">
        <f t="shared" si="11"/>
        <v>30603</v>
      </c>
      <c r="F38" s="34">
        <f t="shared" si="7"/>
        <v>37284</v>
      </c>
      <c r="G38" s="29"/>
      <c r="H38" s="34">
        <f>ROUND(F37*$H$10,0)</f>
        <v>3322</v>
      </c>
      <c r="I38" s="34">
        <f t="shared" ref="I38:I67" si="19">ROUND(H38*(1+$H$8)^0.5+I37*(1+$H$8),0)</f>
        <v>9713</v>
      </c>
      <c r="J38" s="34">
        <f>I38</f>
        <v>9713</v>
      </c>
      <c r="K38" s="34">
        <f>ROUND(J38/VLOOKUP($D38,'Life Annuity Factors'!$B$14:$I$98,8),0)</f>
        <v>7387</v>
      </c>
      <c r="L38" s="12"/>
      <c r="M38" s="68">
        <v>0</v>
      </c>
      <c r="N38" s="68">
        <f>VLOOKUP(D38,'Life Annuity Factors'!$B$14:$I$98,8)*M38</f>
        <v>0</v>
      </c>
      <c r="O38" s="17">
        <f t="shared" si="8"/>
        <v>22</v>
      </c>
      <c r="P38" s="39">
        <f>ROUND(F37*0.07,0)</f>
        <v>2584</v>
      </c>
      <c r="Q38" s="39">
        <f>ROUND(Q37*(1+$Q$31)+P38*(1+$Q$31)^0.5,0)</f>
        <v>7860</v>
      </c>
      <c r="R38" s="39">
        <f t="shared" si="13"/>
        <v>7061</v>
      </c>
      <c r="S38" s="39">
        <f t="shared" si="14"/>
        <v>799</v>
      </c>
      <c r="T38" s="39">
        <f>ROUND(AD38*S38+R38,0)</f>
        <v>7461</v>
      </c>
      <c r="U38" s="39">
        <f>ROUND(T38/VLOOKUP($D38,'Life Annuity Factors'!$B$14:$I$98,8),0)</f>
        <v>5674</v>
      </c>
      <c r="W38" s="17">
        <f t="shared" si="15"/>
        <v>22</v>
      </c>
      <c r="X38" s="39">
        <f t="shared" si="16"/>
        <v>0</v>
      </c>
      <c r="Y38" s="39">
        <f t="shared" si="17"/>
        <v>0</v>
      </c>
      <c r="Z38" s="39">
        <f>Y38</f>
        <v>0</v>
      </c>
      <c r="AA38" s="39">
        <f>ROUND(Z38/VLOOKUP($D38,'Life Annuity Factors'!$B$14:$I$98,8),0)</f>
        <v>0</v>
      </c>
      <c r="AB38" s="30"/>
      <c r="AC38" s="29">
        <f t="shared" si="10"/>
        <v>2</v>
      </c>
      <c r="AD38" s="33">
        <v>0.5</v>
      </c>
    </row>
    <row r="39" spans="4:37" x14ac:dyDescent="0.25">
      <c r="D39" s="17">
        <f t="shared" si="18"/>
        <v>23</v>
      </c>
      <c r="E39" s="34">
        <f t="shared" si="11"/>
        <v>30909</v>
      </c>
      <c r="F39" s="34">
        <f t="shared" si="7"/>
        <v>37656</v>
      </c>
      <c r="G39" s="29"/>
      <c r="H39" s="34">
        <f t="shared" ref="H39:H69" si="20">ROUND(F38*$H$10,0)</f>
        <v>3356</v>
      </c>
      <c r="I39" s="34">
        <f t="shared" si="19"/>
        <v>13638</v>
      </c>
      <c r="J39" s="34">
        <f>I39</f>
        <v>13638</v>
      </c>
      <c r="K39" s="34">
        <f>ROUND(J39/VLOOKUP($D39,'Life Annuity Factors'!$B$14:$I$98,8),0)</f>
        <v>9874</v>
      </c>
      <c r="L39" s="12"/>
      <c r="M39" s="68">
        <v>0</v>
      </c>
      <c r="N39" s="68">
        <f>VLOOKUP(D39,'Life Annuity Factors'!$B$14:$I$98,8)*M39</f>
        <v>0</v>
      </c>
      <c r="O39" s="17">
        <f t="shared" si="8"/>
        <v>23</v>
      </c>
      <c r="P39" s="39">
        <f t="shared" ref="P39:P86" si="21">ROUND(F38*0.07,0)</f>
        <v>2610</v>
      </c>
      <c r="Q39" s="39">
        <f t="shared" si="12"/>
        <v>11201</v>
      </c>
      <c r="R39" s="39">
        <f t="shared" si="13"/>
        <v>9671</v>
      </c>
      <c r="S39" s="39">
        <f t="shared" si="14"/>
        <v>1530</v>
      </c>
      <c r="T39" s="39">
        <f t="shared" si="9"/>
        <v>10436</v>
      </c>
      <c r="U39" s="39">
        <f>ROUND(T39/VLOOKUP($D39,'Life Annuity Factors'!$B$14:$I$98,8),0)</f>
        <v>7556</v>
      </c>
      <c r="W39" s="17">
        <f t="shared" si="15"/>
        <v>23</v>
      </c>
      <c r="X39" s="39">
        <f t="shared" si="16"/>
        <v>0</v>
      </c>
      <c r="Y39" s="39">
        <f t="shared" si="17"/>
        <v>0</v>
      </c>
      <c r="Z39" s="39">
        <f>Y39</f>
        <v>0</v>
      </c>
      <c r="AA39" s="39">
        <f>ROUND(Z39/VLOOKUP($D39,'Life Annuity Factors'!$B$14:$I$98,8),0)</f>
        <v>0</v>
      </c>
      <c r="AB39" s="30"/>
      <c r="AC39" s="29">
        <f t="shared" si="10"/>
        <v>3</v>
      </c>
      <c r="AD39" s="33">
        <v>0.5</v>
      </c>
    </row>
    <row r="40" spans="4:37" x14ac:dyDescent="0.25">
      <c r="D40" s="17">
        <f t="shared" si="18"/>
        <v>24</v>
      </c>
      <c r="E40" s="34">
        <f t="shared" si="11"/>
        <v>31218</v>
      </c>
      <c r="F40" s="34">
        <f t="shared" si="7"/>
        <v>38033</v>
      </c>
      <c r="G40" s="29"/>
      <c r="H40" s="34">
        <f t="shared" si="20"/>
        <v>3389</v>
      </c>
      <c r="I40" s="34">
        <f t="shared" si="19"/>
        <v>17793</v>
      </c>
      <c r="J40" s="34">
        <f t="shared" ref="J40:J86" si="22">I40</f>
        <v>17793</v>
      </c>
      <c r="K40" s="34">
        <f>ROUND(J40/VLOOKUP($D40,'Life Annuity Factors'!$B$14:$I$98,8),0)</f>
        <v>12264</v>
      </c>
      <c r="L40" s="12"/>
      <c r="M40" s="68">
        <v>0</v>
      </c>
      <c r="N40" s="68">
        <f>VLOOKUP(D40,'Life Annuity Factors'!$B$14:$I$98,8)*M40</f>
        <v>0</v>
      </c>
      <c r="O40" s="17">
        <f t="shared" si="8"/>
        <v>24</v>
      </c>
      <c r="P40" s="39">
        <f t="shared" si="21"/>
        <v>2636</v>
      </c>
      <c r="Q40" s="39">
        <f t="shared" si="12"/>
        <v>14836</v>
      </c>
      <c r="R40" s="39">
        <f t="shared" si="13"/>
        <v>12307</v>
      </c>
      <c r="S40" s="39">
        <f t="shared" si="14"/>
        <v>2529</v>
      </c>
      <c r="T40" s="39">
        <f t="shared" si="9"/>
        <v>13572</v>
      </c>
      <c r="U40" s="39">
        <f>ROUND(T40/VLOOKUP($D40,'Life Annuity Factors'!$B$14:$I$98,8),0)</f>
        <v>9354</v>
      </c>
      <c r="W40" s="17">
        <f t="shared" si="15"/>
        <v>24</v>
      </c>
      <c r="X40" s="39">
        <f t="shared" si="16"/>
        <v>0</v>
      </c>
      <c r="Y40" s="39">
        <f t="shared" si="17"/>
        <v>0</v>
      </c>
      <c r="Z40" s="39">
        <f t="shared" ref="Z40:Z86" si="23">Y40</f>
        <v>0</v>
      </c>
      <c r="AA40" s="39">
        <f>ROUND(Z40/VLOOKUP($D40,'Life Annuity Factors'!$B$14:$I$98,8),0)</f>
        <v>0</v>
      </c>
      <c r="AB40" s="30"/>
      <c r="AC40" s="29">
        <f t="shared" si="10"/>
        <v>4</v>
      </c>
      <c r="AD40" s="33">
        <v>0.5</v>
      </c>
    </row>
    <row r="41" spans="4:37" x14ac:dyDescent="0.25">
      <c r="D41" s="17">
        <f t="shared" si="18"/>
        <v>25</v>
      </c>
      <c r="E41" s="34">
        <f t="shared" si="11"/>
        <v>31530</v>
      </c>
      <c r="F41" s="34">
        <f t="shared" si="7"/>
        <v>38413</v>
      </c>
      <c r="G41" s="29"/>
      <c r="H41" s="34">
        <f t="shared" si="20"/>
        <v>3423</v>
      </c>
      <c r="I41" s="34">
        <f t="shared" si="19"/>
        <v>22190</v>
      </c>
      <c r="J41" s="34">
        <f t="shared" si="22"/>
        <v>22190</v>
      </c>
      <c r="K41" s="34">
        <f>ROUND(J41/VLOOKUP($D41,'Life Annuity Factors'!$B$14:$I$98,8),0)</f>
        <v>14559</v>
      </c>
      <c r="L41" s="12"/>
      <c r="M41" s="68">
        <f>ROUND(0.02*(D41-D$36)*AVERAGE(F36:F40),0)</f>
        <v>3729</v>
      </c>
      <c r="N41" s="68">
        <f>VLOOKUP(D41,'Life Annuity Factors'!$B$14:$I$98,8)*M41</f>
        <v>5683.3800413577728</v>
      </c>
      <c r="O41" s="17">
        <f t="shared" si="8"/>
        <v>25</v>
      </c>
      <c r="P41" s="39">
        <f t="shared" si="21"/>
        <v>2662</v>
      </c>
      <c r="Q41" s="39">
        <f t="shared" si="12"/>
        <v>18789</v>
      </c>
      <c r="R41" s="39">
        <f t="shared" si="13"/>
        <v>14969</v>
      </c>
      <c r="S41" s="39">
        <f t="shared" si="14"/>
        <v>3820</v>
      </c>
      <c r="T41" s="39">
        <f t="shared" si="9"/>
        <v>16879</v>
      </c>
      <c r="U41" s="39">
        <f>ROUND(T41/VLOOKUP($D41,'Life Annuity Factors'!$B$14:$I$98,8),0)</f>
        <v>11075</v>
      </c>
      <c r="W41" s="17">
        <f t="shared" si="15"/>
        <v>25</v>
      </c>
      <c r="X41" s="39">
        <f t="shared" si="16"/>
        <v>0</v>
      </c>
      <c r="Y41" s="39">
        <f t="shared" si="17"/>
        <v>0</v>
      </c>
      <c r="Z41" s="39">
        <f t="shared" si="23"/>
        <v>0</v>
      </c>
      <c r="AA41" s="39">
        <f>ROUND(Z41/VLOOKUP($D41,'Life Annuity Factors'!$B$14:$I$98,8),0)</f>
        <v>0</v>
      </c>
      <c r="AB41" s="30"/>
      <c r="AC41" s="29">
        <f t="shared" si="10"/>
        <v>5</v>
      </c>
      <c r="AD41" s="33">
        <v>0.5</v>
      </c>
      <c r="AE41" s="35"/>
      <c r="AF41" s="29">
        <v>60</v>
      </c>
      <c r="AG41" s="88">
        <v>0.65</v>
      </c>
      <c r="AH41" s="39">
        <f>VLOOKUP(AF41,$D$41:$M$91,10,FALSE)</f>
        <v>42257</v>
      </c>
      <c r="AI41" s="39">
        <f t="shared" ref="AI41:AI63" si="24">AG41*AH41</f>
        <v>27467.05</v>
      </c>
      <c r="AJ41" s="87">
        <f>VLOOKUP(AF41,'Life Annuity Factors'!$B$14:$J$98,9)</f>
        <v>13.250299811547027</v>
      </c>
      <c r="AK41" s="39">
        <f>AI41*AJ41</f>
        <v>363946.64743875276</v>
      </c>
    </row>
    <row r="42" spans="4:37" x14ac:dyDescent="0.25">
      <c r="D42" s="17">
        <f t="shared" si="18"/>
        <v>26</v>
      </c>
      <c r="E42" s="34">
        <f t="shared" si="11"/>
        <v>31845</v>
      </c>
      <c r="F42" s="34">
        <f t="shared" si="7"/>
        <v>38797</v>
      </c>
      <c r="G42" s="29"/>
      <c r="H42" s="34">
        <f t="shared" si="20"/>
        <v>3457</v>
      </c>
      <c r="I42" s="34">
        <f t="shared" si="19"/>
        <v>26842</v>
      </c>
      <c r="J42" s="34">
        <f t="shared" si="22"/>
        <v>26842</v>
      </c>
      <c r="K42" s="34">
        <f>ROUND(J42/VLOOKUP($D42,'Life Annuity Factors'!$B$14:$I$98,8),0)</f>
        <v>16765</v>
      </c>
      <c r="L42" s="12"/>
      <c r="M42" s="68">
        <f t="shared" ref="M42:M86" si="25">ROUND(0.02*(D42-D$36)*AVERAGE(F37:F41),0)</f>
        <v>4519</v>
      </c>
      <c r="N42" s="68">
        <f>VLOOKUP(D42,'Life Annuity Factors'!$B$14:$I$98,8)*M42</f>
        <v>7235.1826465799359</v>
      </c>
      <c r="O42" s="17">
        <f t="shared" si="8"/>
        <v>26</v>
      </c>
      <c r="P42" s="39">
        <f t="shared" si="21"/>
        <v>2689</v>
      </c>
      <c r="Q42" s="39">
        <f t="shared" si="12"/>
        <v>23087</v>
      </c>
      <c r="R42" s="39">
        <f t="shared" si="13"/>
        <v>17658</v>
      </c>
      <c r="S42" s="39">
        <f t="shared" si="14"/>
        <v>5429</v>
      </c>
      <c r="T42" s="39">
        <f t="shared" si="9"/>
        <v>20373</v>
      </c>
      <c r="U42" s="39">
        <f>ROUND(T42/VLOOKUP($D42,'Life Annuity Factors'!$B$14:$I$98,8),0)</f>
        <v>12725</v>
      </c>
      <c r="W42" s="17">
        <f t="shared" si="15"/>
        <v>26</v>
      </c>
      <c r="X42" s="39">
        <f t="shared" si="16"/>
        <v>0</v>
      </c>
      <c r="Y42" s="39">
        <f t="shared" si="17"/>
        <v>0</v>
      </c>
      <c r="Z42" s="39">
        <f t="shared" si="23"/>
        <v>0</v>
      </c>
      <c r="AA42" s="39">
        <f>ROUND(Z42/VLOOKUP($D42,'Life Annuity Factors'!$B$14:$I$98,8),0)</f>
        <v>0</v>
      </c>
      <c r="AB42" s="30"/>
      <c r="AC42" s="29">
        <f t="shared" si="10"/>
        <v>6</v>
      </c>
      <c r="AD42" s="33">
        <v>0.5</v>
      </c>
      <c r="AE42" s="35"/>
      <c r="AF42" s="29">
        <f>1+AF41</f>
        <v>61</v>
      </c>
      <c r="AG42" s="88">
        <v>0.73</v>
      </c>
      <c r="AH42" s="39">
        <f t="shared" ref="AH42:AH63" si="26">VLOOKUP(AF42,$D$41:$M$91,10,FALSE)</f>
        <v>43747</v>
      </c>
      <c r="AI42" s="39">
        <f t="shared" si="24"/>
        <v>31935.309999999998</v>
      </c>
      <c r="AJ42" s="87">
        <f>VLOOKUP(AF42,'Life Annuity Factors'!$B$14:$J$98,9)</f>
        <v>12.967123848193701</v>
      </c>
      <c r="AK42" s="39">
        <f t="shared" ref="AK42:AK63" si="27">AI42*AJ42</f>
        <v>414109.11990045873</v>
      </c>
    </row>
    <row r="43" spans="4:37" x14ac:dyDescent="0.25">
      <c r="D43" s="17">
        <f t="shared" si="18"/>
        <v>27</v>
      </c>
      <c r="E43" s="34">
        <f t="shared" si="11"/>
        <v>32163</v>
      </c>
      <c r="F43" s="34">
        <f t="shared" si="7"/>
        <v>39185</v>
      </c>
      <c r="G43" s="29"/>
      <c r="H43" s="34">
        <f t="shared" si="20"/>
        <v>3492</v>
      </c>
      <c r="I43" s="34">
        <f t="shared" si="19"/>
        <v>31762</v>
      </c>
      <c r="J43" s="34">
        <f t="shared" si="22"/>
        <v>31762</v>
      </c>
      <c r="K43" s="34">
        <f>ROUND(J43/VLOOKUP($D43,'Life Annuity Factors'!$B$14:$I$98,8),0)</f>
        <v>18884</v>
      </c>
      <c r="L43" s="12"/>
      <c r="M43" s="68">
        <f t="shared" si="25"/>
        <v>5325</v>
      </c>
      <c r="N43" s="68">
        <f>VLOOKUP(D43,'Life Annuity Factors'!$B$14:$I$98,8)*M43</f>
        <v>8956.398829475098</v>
      </c>
      <c r="O43" s="17">
        <f t="shared" si="8"/>
        <v>27</v>
      </c>
      <c r="P43" s="39">
        <f t="shared" si="21"/>
        <v>2716</v>
      </c>
      <c r="Q43" s="39">
        <f t="shared" si="12"/>
        <v>27757</v>
      </c>
      <c r="R43" s="39">
        <f t="shared" si="13"/>
        <v>20374</v>
      </c>
      <c r="S43" s="39">
        <f t="shared" si="14"/>
        <v>7383</v>
      </c>
      <c r="T43" s="39">
        <f t="shared" si="9"/>
        <v>24066</v>
      </c>
      <c r="U43" s="39">
        <f>ROUND(T43/VLOOKUP($D43,'Life Annuity Factors'!$B$14:$I$98,8),0)</f>
        <v>14308</v>
      </c>
      <c r="W43" s="17">
        <f t="shared" si="15"/>
        <v>27</v>
      </c>
      <c r="X43" s="39">
        <f t="shared" si="16"/>
        <v>0</v>
      </c>
      <c r="Y43" s="39">
        <f t="shared" si="17"/>
        <v>0</v>
      </c>
      <c r="Z43" s="39">
        <f t="shared" si="23"/>
        <v>0</v>
      </c>
      <c r="AA43" s="39">
        <f>ROUND(Z43/VLOOKUP($D43,'Life Annuity Factors'!$B$14:$I$98,8),0)</f>
        <v>0</v>
      </c>
      <c r="AB43" s="30"/>
      <c r="AC43" s="29">
        <f t="shared" si="10"/>
        <v>7</v>
      </c>
      <c r="AD43" s="33">
        <v>0.5</v>
      </c>
      <c r="AE43" s="35"/>
      <c r="AF43" s="29">
        <f t="shared" ref="AF43:AF63" si="28">1+AF42</f>
        <v>62</v>
      </c>
      <c r="AG43" s="88">
        <v>0.8</v>
      </c>
      <c r="AH43" s="39">
        <f t="shared" si="26"/>
        <v>45262</v>
      </c>
      <c r="AI43" s="39">
        <f>AG43*AH43</f>
        <v>36209.599999999999</v>
      </c>
      <c r="AJ43" s="87">
        <f>VLOOKUP(AF43,'Life Annuity Factors'!$B$14:$J$98,9)</f>
        <v>12.67918798618911</v>
      </c>
      <c r="AK43" s="39">
        <f t="shared" si="27"/>
        <v>459108.32530471316</v>
      </c>
    </row>
    <row r="44" spans="4:37" x14ac:dyDescent="0.25">
      <c r="D44" s="17">
        <f t="shared" si="18"/>
        <v>28</v>
      </c>
      <c r="E44" s="34">
        <f t="shared" si="11"/>
        <v>32485</v>
      </c>
      <c r="F44" s="34">
        <f t="shared" si="7"/>
        <v>39577</v>
      </c>
      <c r="G44" s="29"/>
      <c r="H44" s="34">
        <f t="shared" si="20"/>
        <v>3527</v>
      </c>
      <c r="I44" s="34">
        <f t="shared" si="19"/>
        <v>36964</v>
      </c>
      <c r="J44" s="34">
        <f t="shared" si="22"/>
        <v>36964</v>
      </c>
      <c r="K44" s="34">
        <f>ROUND(J44/VLOOKUP($D44,'Life Annuity Factors'!$B$14:$I$98,8),0)</f>
        <v>20919</v>
      </c>
      <c r="L44" s="12"/>
      <c r="M44" s="68">
        <f t="shared" si="25"/>
        <v>6147</v>
      </c>
      <c r="N44" s="68">
        <f>VLOOKUP(D44,'Life Annuity Factors'!$B$14:$I$98,8)*M44</f>
        <v>10861.586237929538</v>
      </c>
      <c r="O44" s="17">
        <f t="shared" si="8"/>
        <v>28</v>
      </c>
      <c r="P44" s="39">
        <f t="shared" si="21"/>
        <v>2743</v>
      </c>
      <c r="Q44" s="39">
        <f t="shared" si="12"/>
        <v>32828</v>
      </c>
      <c r="R44" s="39">
        <f t="shared" si="13"/>
        <v>23117</v>
      </c>
      <c r="S44" s="39">
        <f t="shared" si="14"/>
        <v>9711</v>
      </c>
      <c r="T44" s="39">
        <f t="shared" si="9"/>
        <v>27973</v>
      </c>
      <c r="U44" s="39">
        <f>ROUND(T44/VLOOKUP($D44,'Life Annuity Factors'!$B$14:$I$98,8),0)</f>
        <v>15831</v>
      </c>
      <c r="W44" s="17">
        <f t="shared" si="15"/>
        <v>28</v>
      </c>
      <c r="X44" s="39">
        <f t="shared" si="16"/>
        <v>0</v>
      </c>
      <c r="Y44" s="39">
        <f t="shared" si="17"/>
        <v>0</v>
      </c>
      <c r="Z44" s="39">
        <f t="shared" si="23"/>
        <v>0</v>
      </c>
      <c r="AA44" s="39">
        <f>ROUND(Z44/VLOOKUP($D44,'Life Annuity Factors'!$B$14:$I$98,8),0)</f>
        <v>0</v>
      </c>
      <c r="AB44" s="30"/>
      <c r="AC44" s="29">
        <f t="shared" si="10"/>
        <v>8</v>
      </c>
      <c r="AD44" s="33">
        <v>0.5</v>
      </c>
      <c r="AE44" s="35"/>
      <c r="AF44" s="29">
        <f t="shared" si="28"/>
        <v>63</v>
      </c>
      <c r="AG44" s="88">
        <v>0.86</v>
      </c>
      <c r="AH44" s="39">
        <f t="shared" si="26"/>
        <v>46803</v>
      </c>
      <c r="AI44" s="39">
        <f t="shared" si="24"/>
        <v>40250.58</v>
      </c>
      <c r="AJ44" s="87">
        <f>VLOOKUP(AF44,'Life Annuity Factors'!$B$14:$J$98,9)</f>
        <v>12.386878923687849</v>
      </c>
      <c r="AK44" s="39">
        <f t="shared" si="27"/>
        <v>498579.06106821168</v>
      </c>
    </row>
    <row r="45" spans="4:37" x14ac:dyDescent="0.25">
      <c r="D45" s="17">
        <f t="shared" si="18"/>
        <v>29</v>
      </c>
      <c r="E45" s="34">
        <f t="shared" si="11"/>
        <v>32810</v>
      </c>
      <c r="F45" s="34">
        <f t="shared" si="7"/>
        <v>39973</v>
      </c>
      <c r="G45" s="29"/>
      <c r="H45" s="34">
        <f t="shared" si="20"/>
        <v>3562</v>
      </c>
      <c r="I45" s="34">
        <f t="shared" si="19"/>
        <v>42462</v>
      </c>
      <c r="J45" s="34">
        <f t="shared" si="22"/>
        <v>42462</v>
      </c>
      <c r="K45" s="34">
        <f>ROUND(J45/VLOOKUP($D45,'Life Annuity Factors'!$B$14:$I$98,8),0)</f>
        <v>22874</v>
      </c>
      <c r="L45" s="12"/>
      <c r="M45" s="68">
        <f t="shared" si="25"/>
        <v>6984</v>
      </c>
      <c r="N45" s="68">
        <f>VLOOKUP(D45,'Life Annuity Factors'!$B$14:$I$98,8)*M45</f>
        <v>12964.614993535926</v>
      </c>
      <c r="O45" s="17">
        <f t="shared" si="8"/>
        <v>29</v>
      </c>
      <c r="P45" s="39">
        <f t="shared" si="21"/>
        <v>2770</v>
      </c>
      <c r="Q45" s="39">
        <f t="shared" si="12"/>
        <v>38333</v>
      </c>
      <c r="R45" s="39">
        <f t="shared" si="13"/>
        <v>25887</v>
      </c>
      <c r="S45" s="39">
        <f t="shared" si="14"/>
        <v>12446</v>
      </c>
      <c r="T45" s="39">
        <f t="shared" si="9"/>
        <v>32110</v>
      </c>
      <c r="U45" s="39">
        <f>ROUND(T45/VLOOKUP($D45,'Life Annuity Factors'!$B$14:$I$98,8),0)</f>
        <v>17298</v>
      </c>
      <c r="W45" s="17">
        <f t="shared" si="15"/>
        <v>29</v>
      </c>
      <c r="X45" s="39">
        <f t="shared" si="16"/>
        <v>0</v>
      </c>
      <c r="Y45" s="39">
        <f t="shared" si="17"/>
        <v>0</v>
      </c>
      <c r="Z45" s="39">
        <f t="shared" si="23"/>
        <v>0</v>
      </c>
      <c r="AA45" s="39">
        <f>ROUND(Z45/VLOOKUP($D45,'Life Annuity Factors'!$B$14:$I$98,8),0)</f>
        <v>0</v>
      </c>
      <c r="AB45" s="30"/>
      <c r="AC45" s="29">
        <f t="shared" si="10"/>
        <v>9</v>
      </c>
      <c r="AD45" s="33">
        <v>0.5</v>
      </c>
      <c r="AE45" s="35"/>
      <c r="AF45" s="29">
        <f t="shared" si="28"/>
        <v>64</v>
      </c>
      <c r="AG45" s="88">
        <v>0.93</v>
      </c>
      <c r="AH45" s="39">
        <f t="shared" si="26"/>
        <v>48370</v>
      </c>
      <c r="AI45" s="39">
        <f t="shared" si="24"/>
        <v>44984.100000000006</v>
      </c>
      <c r="AJ45" s="87">
        <f>VLOOKUP(AF45,'Life Annuity Factors'!$B$14:$J$98,9)</f>
        <v>12.091542594872942</v>
      </c>
      <c r="AK45" s="39">
        <f t="shared" si="27"/>
        <v>543927.16124202404</v>
      </c>
    </row>
    <row r="46" spans="4:37" x14ac:dyDescent="0.25">
      <c r="D46" s="17">
        <f t="shared" si="18"/>
        <v>30</v>
      </c>
      <c r="E46" s="34">
        <f t="shared" si="11"/>
        <v>33138</v>
      </c>
      <c r="F46" s="34">
        <f t="shared" si="7"/>
        <v>40373</v>
      </c>
      <c r="G46" s="29"/>
      <c r="H46" s="34">
        <f t="shared" si="20"/>
        <v>3598</v>
      </c>
      <c r="I46" s="34">
        <f t="shared" si="19"/>
        <v>48272</v>
      </c>
      <c r="J46" s="34">
        <f t="shared" si="22"/>
        <v>48272</v>
      </c>
      <c r="K46" s="34">
        <f>ROUND(J46/VLOOKUP($D46,'Life Annuity Factors'!$B$14:$I$98,8),0)</f>
        <v>24752</v>
      </c>
      <c r="L46" s="12"/>
      <c r="M46" s="68">
        <f t="shared" si="25"/>
        <v>7838</v>
      </c>
      <c r="N46" s="68">
        <f>VLOOKUP(D46,'Life Annuity Factors'!$B$14:$I$98,8)*M46</f>
        <v>15286.020078744024</v>
      </c>
      <c r="O46" s="17">
        <f t="shared" si="8"/>
        <v>30</v>
      </c>
      <c r="P46" s="39">
        <f t="shared" si="21"/>
        <v>2798</v>
      </c>
      <c r="Q46" s="39">
        <f t="shared" si="12"/>
        <v>44307</v>
      </c>
      <c r="R46" s="39">
        <f t="shared" si="13"/>
        <v>28685</v>
      </c>
      <c r="S46" s="39">
        <f t="shared" si="14"/>
        <v>15622</v>
      </c>
      <c r="T46" s="39">
        <f t="shared" si="9"/>
        <v>36496</v>
      </c>
      <c r="U46" s="39">
        <f>ROUND(T46/VLOOKUP($D46,'Life Annuity Factors'!$B$14:$I$98,8),0)</f>
        <v>18714</v>
      </c>
      <c r="W46" s="17">
        <f t="shared" si="15"/>
        <v>30</v>
      </c>
      <c r="X46" s="39">
        <f t="shared" si="16"/>
        <v>0</v>
      </c>
      <c r="Y46" s="39">
        <f t="shared" si="17"/>
        <v>0</v>
      </c>
      <c r="Z46" s="39">
        <f t="shared" si="23"/>
        <v>0</v>
      </c>
      <c r="AA46" s="39">
        <f>ROUND(Z46/VLOOKUP($D46,'Life Annuity Factors'!$B$14:$I$98,8),0)</f>
        <v>0</v>
      </c>
      <c r="AB46" s="30"/>
      <c r="AC46" s="29">
        <f t="shared" si="10"/>
        <v>10</v>
      </c>
      <c r="AD46" s="33">
        <v>0.5</v>
      </c>
      <c r="AE46" s="35"/>
      <c r="AF46" s="29">
        <f t="shared" si="28"/>
        <v>65</v>
      </c>
      <c r="AG46" s="88">
        <v>1</v>
      </c>
      <c r="AH46" s="39">
        <f t="shared" si="26"/>
        <v>49964</v>
      </c>
      <c r="AI46" s="39">
        <f t="shared" si="24"/>
        <v>49964</v>
      </c>
      <c r="AJ46" s="87">
        <f>VLOOKUP(AF46,'Life Annuity Factors'!$B$14:$J$98,9)</f>
        <v>11.793409529464153</v>
      </c>
      <c r="AK46" s="39">
        <f t="shared" si="27"/>
        <v>589245.91373014695</v>
      </c>
    </row>
    <row r="47" spans="4:37" x14ac:dyDescent="0.25">
      <c r="D47" s="17">
        <f t="shared" si="18"/>
        <v>31</v>
      </c>
      <c r="E47" s="34">
        <f t="shared" si="11"/>
        <v>33469</v>
      </c>
      <c r="F47" s="34">
        <f t="shared" si="7"/>
        <v>40777</v>
      </c>
      <c r="G47" s="29"/>
      <c r="H47" s="34">
        <f t="shared" si="20"/>
        <v>3634</v>
      </c>
      <c r="I47" s="34">
        <f t="shared" si="19"/>
        <v>54409</v>
      </c>
      <c r="J47" s="34">
        <f t="shared" si="22"/>
        <v>54409</v>
      </c>
      <c r="K47" s="34">
        <f>ROUND(J47/VLOOKUP($D47,'Life Annuity Factors'!$B$14:$I$98,8),0)</f>
        <v>26554</v>
      </c>
      <c r="L47" s="12"/>
      <c r="M47" s="68">
        <f t="shared" si="25"/>
        <v>8708</v>
      </c>
      <c r="N47" s="68">
        <f>VLOOKUP(D47,'Life Annuity Factors'!$B$14:$I$98,8)*M47</f>
        <v>17842.363413174888</v>
      </c>
      <c r="O47" s="17">
        <f t="shared" si="8"/>
        <v>31</v>
      </c>
      <c r="P47" s="39">
        <f t="shared" si="21"/>
        <v>2826</v>
      </c>
      <c r="Q47" s="39">
        <f t="shared" si="12"/>
        <v>50788</v>
      </c>
      <c r="R47" s="39">
        <f t="shared" si="13"/>
        <v>31511</v>
      </c>
      <c r="S47" s="39">
        <f t="shared" si="14"/>
        <v>19277</v>
      </c>
      <c r="T47" s="39">
        <f t="shared" si="9"/>
        <v>41150</v>
      </c>
      <c r="U47" s="39">
        <f>ROUND(T47/VLOOKUP($D47,'Life Annuity Factors'!$B$14:$I$98,8),0)</f>
        <v>20083</v>
      </c>
      <c r="W47" s="17">
        <f t="shared" si="15"/>
        <v>31</v>
      </c>
      <c r="X47" s="39">
        <f t="shared" si="16"/>
        <v>0</v>
      </c>
      <c r="Y47" s="39">
        <f t="shared" si="17"/>
        <v>0</v>
      </c>
      <c r="Z47" s="39">
        <f t="shared" si="23"/>
        <v>0</v>
      </c>
      <c r="AA47" s="39">
        <f>ROUND(Z47/VLOOKUP($D47,'Life Annuity Factors'!$B$14:$I$98,8),0)</f>
        <v>0</v>
      </c>
      <c r="AB47" s="30"/>
      <c r="AC47" s="29">
        <f t="shared" si="10"/>
        <v>11</v>
      </c>
      <c r="AD47" s="33">
        <v>0.5</v>
      </c>
      <c r="AE47" s="35"/>
      <c r="AF47" s="29">
        <f t="shared" si="28"/>
        <v>66</v>
      </c>
      <c r="AG47" s="88">
        <v>1</v>
      </c>
      <c r="AH47" s="39">
        <f t="shared" si="26"/>
        <v>51585</v>
      </c>
      <c r="AI47" s="39">
        <f t="shared" si="24"/>
        <v>51585</v>
      </c>
      <c r="AJ47" s="87">
        <f>VLOOKUP(AF47,'Life Annuity Factors'!$B$14:$J$98,9)</f>
        <v>11.492695129385551</v>
      </c>
      <c r="AK47" s="39">
        <f t="shared" si="27"/>
        <v>592850.67824935366</v>
      </c>
    </row>
    <row r="48" spans="4:37" x14ac:dyDescent="0.25">
      <c r="D48" s="17">
        <f t="shared" si="18"/>
        <v>32</v>
      </c>
      <c r="E48" s="34">
        <f t="shared" si="11"/>
        <v>33804</v>
      </c>
      <c r="F48" s="34">
        <f t="shared" si="7"/>
        <v>41184</v>
      </c>
      <c r="G48" s="29"/>
      <c r="H48" s="34">
        <f t="shared" si="20"/>
        <v>3670</v>
      </c>
      <c r="I48" s="34">
        <f t="shared" si="19"/>
        <v>60890</v>
      </c>
      <c r="J48" s="34">
        <f t="shared" si="22"/>
        <v>60890</v>
      </c>
      <c r="K48" s="34">
        <f>ROUND(J48/VLOOKUP($D48,'Life Annuity Factors'!$B$14:$I$98,8),0)</f>
        <v>28285</v>
      </c>
      <c r="L48" s="12"/>
      <c r="M48" s="68">
        <f t="shared" si="25"/>
        <v>9594</v>
      </c>
      <c r="N48" s="68">
        <f>VLOOKUP(D48,'Life Annuity Factors'!$B$14:$I$98,8)*M48</f>
        <v>20653.280893761912</v>
      </c>
      <c r="O48" s="17">
        <f t="shared" si="8"/>
        <v>32</v>
      </c>
      <c r="P48" s="39">
        <f t="shared" si="21"/>
        <v>2854</v>
      </c>
      <c r="Q48" s="39">
        <f t="shared" si="12"/>
        <v>57817</v>
      </c>
      <c r="R48" s="39">
        <f t="shared" si="13"/>
        <v>34365</v>
      </c>
      <c r="S48" s="39">
        <f t="shared" si="14"/>
        <v>23452</v>
      </c>
      <c r="T48" s="39">
        <f t="shared" si="9"/>
        <v>46091</v>
      </c>
      <c r="U48" s="39">
        <f>ROUND(T48/VLOOKUP($D48,'Life Annuity Factors'!$B$14:$I$98,8),0)</f>
        <v>21410</v>
      </c>
      <c r="W48" s="17">
        <f t="shared" si="15"/>
        <v>32</v>
      </c>
      <c r="X48" s="39">
        <f t="shared" si="16"/>
        <v>0</v>
      </c>
      <c r="Y48" s="39">
        <f t="shared" si="17"/>
        <v>0</v>
      </c>
      <c r="Z48" s="39">
        <f t="shared" si="23"/>
        <v>0</v>
      </c>
      <c r="AA48" s="39">
        <f>ROUND(Z48/VLOOKUP($D48,'Life Annuity Factors'!$B$14:$I$98,8),0)</f>
        <v>0</v>
      </c>
      <c r="AB48" s="30"/>
      <c r="AC48" s="29">
        <f t="shared" si="10"/>
        <v>12</v>
      </c>
      <c r="AD48" s="33">
        <v>0.5</v>
      </c>
      <c r="AE48" s="35"/>
      <c r="AF48" s="29">
        <f t="shared" si="28"/>
        <v>67</v>
      </c>
      <c r="AG48" s="88">
        <v>1</v>
      </c>
      <c r="AH48" s="39">
        <f t="shared" si="26"/>
        <v>53234</v>
      </c>
      <c r="AI48" s="39">
        <f t="shared" si="24"/>
        <v>53234</v>
      </c>
      <c r="AJ48" s="87">
        <f>VLOOKUP(AF48,'Life Annuity Factors'!$B$14:$J$98,9)</f>
        <v>11.190195091955951</v>
      </c>
      <c r="AK48" s="39">
        <f t="shared" si="27"/>
        <v>595698.84552518313</v>
      </c>
    </row>
    <row r="49" spans="4:37" x14ac:dyDescent="0.25">
      <c r="D49" s="17">
        <f t="shared" si="18"/>
        <v>33</v>
      </c>
      <c r="E49" s="34">
        <f t="shared" si="11"/>
        <v>34142</v>
      </c>
      <c r="F49" s="34">
        <f t="shared" si="7"/>
        <v>41596</v>
      </c>
      <c r="G49" s="29"/>
      <c r="H49" s="34">
        <f t="shared" si="20"/>
        <v>3707</v>
      </c>
      <c r="I49" s="34">
        <f t="shared" si="19"/>
        <v>67733</v>
      </c>
      <c r="J49" s="34">
        <f t="shared" si="22"/>
        <v>67733</v>
      </c>
      <c r="K49" s="34">
        <f>ROUND(J49/VLOOKUP($D49,'Life Annuity Factors'!$B$14:$I$98,8),0)</f>
        <v>29947</v>
      </c>
      <c r="L49" s="12"/>
      <c r="M49" s="68">
        <f t="shared" si="25"/>
        <v>10498</v>
      </c>
      <c r="N49" s="68">
        <f>VLOOKUP(D49,'Life Annuity Factors'!$B$14:$I$98,8)*M49</f>
        <v>23744.37376214136</v>
      </c>
      <c r="O49" s="17">
        <f t="shared" si="8"/>
        <v>33</v>
      </c>
      <c r="P49" s="39">
        <f t="shared" si="21"/>
        <v>2883</v>
      </c>
      <c r="Q49" s="39">
        <f t="shared" si="12"/>
        <v>65438</v>
      </c>
      <c r="R49" s="39">
        <f t="shared" si="13"/>
        <v>37248</v>
      </c>
      <c r="S49" s="39">
        <f t="shared" si="14"/>
        <v>28190</v>
      </c>
      <c r="T49" s="39">
        <f t="shared" si="9"/>
        <v>51343</v>
      </c>
      <c r="U49" s="39">
        <f>ROUND(T49/VLOOKUP($D49,'Life Annuity Factors'!$B$14:$I$98,8),0)</f>
        <v>22700</v>
      </c>
      <c r="W49" s="17">
        <f t="shared" si="15"/>
        <v>33</v>
      </c>
      <c r="X49" s="39">
        <f t="shared" si="16"/>
        <v>0</v>
      </c>
      <c r="Y49" s="39">
        <f t="shared" si="17"/>
        <v>0</v>
      </c>
      <c r="Z49" s="39">
        <f t="shared" si="23"/>
        <v>0</v>
      </c>
      <c r="AA49" s="39">
        <f>ROUND(Z49/VLOOKUP($D49,'Life Annuity Factors'!$B$14:$I$98,8),0)</f>
        <v>0</v>
      </c>
      <c r="AB49" s="30"/>
      <c r="AC49" s="29">
        <f t="shared" si="10"/>
        <v>13</v>
      </c>
      <c r="AD49" s="33">
        <v>0.5</v>
      </c>
      <c r="AE49" s="35"/>
      <c r="AF49" s="29">
        <f t="shared" si="28"/>
        <v>68</v>
      </c>
      <c r="AG49" s="88">
        <v>1</v>
      </c>
      <c r="AH49" s="39">
        <f t="shared" si="26"/>
        <v>54910</v>
      </c>
      <c r="AI49" s="39">
        <f t="shared" si="24"/>
        <v>54910</v>
      </c>
      <c r="AJ49" s="87">
        <f>VLOOKUP(AF49,'Life Annuity Factors'!$B$14:$J$98,9)</f>
        <v>10.884635996617799</v>
      </c>
      <c r="AK49" s="39">
        <f t="shared" si="27"/>
        <v>597675.36257428338</v>
      </c>
    </row>
    <row r="50" spans="4:37" x14ac:dyDescent="0.25">
      <c r="D50" s="17">
        <f t="shared" si="18"/>
        <v>34</v>
      </c>
      <c r="E50" s="34">
        <f t="shared" si="11"/>
        <v>34483</v>
      </c>
      <c r="F50" s="34">
        <f t="shared" si="7"/>
        <v>42012</v>
      </c>
      <c r="G50" s="29"/>
      <c r="H50" s="34">
        <f t="shared" si="20"/>
        <v>3744</v>
      </c>
      <c r="I50" s="34">
        <f t="shared" si="19"/>
        <v>74956</v>
      </c>
      <c r="J50" s="34">
        <f t="shared" si="22"/>
        <v>74956</v>
      </c>
      <c r="K50" s="34">
        <f>ROUND(J50/VLOOKUP($D50,'Life Annuity Factors'!$B$14:$I$98,8),0)</f>
        <v>31541</v>
      </c>
      <c r="L50" s="12"/>
      <c r="M50" s="68">
        <f t="shared" si="25"/>
        <v>11419</v>
      </c>
      <c r="N50" s="68">
        <f>VLOOKUP(D50,'Life Annuity Factors'!$B$14:$I$98,8)*M50</f>
        <v>27136.476451692019</v>
      </c>
      <c r="O50" s="17">
        <f t="shared" si="8"/>
        <v>34</v>
      </c>
      <c r="P50" s="39">
        <f t="shared" si="21"/>
        <v>2912</v>
      </c>
      <c r="Q50" s="39">
        <f t="shared" si="12"/>
        <v>73699</v>
      </c>
      <c r="R50" s="39">
        <f t="shared" si="13"/>
        <v>40160</v>
      </c>
      <c r="S50" s="39">
        <f t="shared" si="14"/>
        <v>33539</v>
      </c>
      <c r="T50" s="39">
        <f t="shared" si="9"/>
        <v>56930</v>
      </c>
      <c r="U50" s="39">
        <f>ROUND(T50/VLOOKUP($D50,'Life Annuity Factors'!$B$14:$I$98,8),0)</f>
        <v>23956</v>
      </c>
      <c r="W50" s="17">
        <f t="shared" si="15"/>
        <v>34</v>
      </c>
      <c r="X50" s="39">
        <f t="shared" si="16"/>
        <v>0</v>
      </c>
      <c r="Y50" s="39">
        <f t="shared" si="17"/>
        <v>0</v>
      </c>
      <c r="Z50" s="39">
        <f t="shared" si="23"/>
        <v>0</v>
      </c>
      <c r="AA50" s="39">
        <f>ROUND(Z50/VLOOKUP($D50,'Life Annuity Factors'!$B$14:$I$98,8),0)</f>
        <v>0</v>
      </c>
      <c r="AB50" s="30"/>
      <c r="AC50" s="29">
        <f t="shared" si="10"/>
        <v>14</v>
      </c>
      <c r="AD50" s="33">
        <v>0.5</v>
      </c>
      <c r="AE50" s="35"/>
      <c r="AF50" s="29">
        <f t="shared" si="28"/>
        <v>69</v>
      </c>
      <c r="AG50" s="88">
        <v>1</v>
      </c>
      <c r="AH50" s="39">
        <f t="shared" si="26"/>
        <v>56614</v>
      </c>
      <c r="AI50" s="39">
        <f t="shared" si="24"/>
        <v>56614</v>
      </c>
      <c r="AJ50" s="87">
        <f>VLOOKUP(AF50,'Life Annuity Factors'!$B$14:$J$98,9)</f>
        <v>10.574166994829842</v>
      </c>
      <c r="AK50" s="39">
        <f t="shared" si="27"/>
        <v>598645.89024529664</v>
      </c>
    </row>
    <row r="51" spans="4:37" x14ac:dyDescent="0.25">
      <c r="D51" s="17">
        <f t="shared" si="18"/>
        <v>35</v>
      </c>
      <c r="E51" s="34">
        <f t="shared" si="11"/>
        <v>34828</v>
      </c>
      <c r="F51" s="34">
        <f t="shared" si="7"/>
        <v>42432</v>
      </c>
      <c r="G51" s="29"/>
      <c r="H51" s="34">
        <f t="shared" si="20"/>
        <v>3781</v>
      </c>
      <c r="I51" s="34">
        <f t="shared" si="19"/>
        <v>82578</v>
      </c>
      <c r="J51" s="34">
        <f t="shared" si="22"/>
        <v>82578</v>
      </c>
      <c r="K51" s="34">
        <f>ROUND(J51/VLOOKUP($D51,'Life Annuity Factors'!$B$14:$I$98,8),0)</f>
        <v>33072</v>
      </c>
      <c r="L51" s="12"/>
      <c r="M51" s="68">
        <f t="shared" si="25"/>
        <v>12357</v>
      </c>
      <c r="N51" s="68">
        <f>VLOOKUP(D51,'Life Annuity Factors'!$B$14:$I$98,8)*M51</f>
        <v>30854.197066864999</v>
      </c>
      <c r="O51" s="17">
        <f t="shared" si="8"/>
        <v>35</v>
      </c>
      <c r="P51" s="39">
        <f t="shared" si="21"/>
        <v>2941</v>
      </c>
      <c r="Q51" s="39">
        <f t="shared" si="12"/>
        <v>82651</v>
      </c>
      <c r="R51" s="39">
        <f t="shared" si="13"/>
        <v>43101</v>
      </c>
      <c r="S51" s="39">
        <f t="shared" si="14"/>
        <v>39550</v>
      </c>
      <c r="T51" s="39">
        <f t="shared" si="9"/>
        <v>62876</v>
      </c>
      <c r="U51" s="39">
        <f>ROUND(T51/VLOOKUP($D51,'Life Annuity Factors'!$B$14:$I$98,8),0)</f>
        <v>25182</v>
      </c>
      <c r="W51" s="17">
        <f t="shared" si="15"/>
        <v>35</v>
      </c>
      <c r="X51" s="39">
        <f t="shared" si="16"/>
        <v>0</v>
      </c>
      <c r="Y51" s="39">
        <f t="shared" si="17"/>
        <v>0</v>
      </c>
      <c r="Z51" s="39">
        <f t="shared" si="23"/>
        <v>0</v>
      </c>
      <c r="AA51" s="39">
        <f>ROUND(Z51/VLOOKUP($D51,'Life Annuity Factors'!$B$14:$I$98,8),0)</f>
        <v>0</v>
      </c>
      <c r="AB51" s="30"/>
      <c r="AC51" s="29">
        <f t="shared" si="10"/>
        <v>15</v>
      </c>
      <c r="AD51" s="33">
        <v>0.5</v>
      </c>
      <c r="AE51" s="35"/>
      <c r="AF51" s="29">
        <f t="shared" si="28"/>
        <v>70</v>
      </c>
      <c r="AG51" s="88">
        <v>1</v>
      </c>
      <c r="AH51" s="39">
        <f t="shared" si="26"/>
        <v>58348</v>
      </c>
      <c r="AI51" s="39">
        <f t="shared" si="24"/>
        <v>58348</v>
      </c>
      <c r="AJ51" s="87">
        <f>VLOOKUP(AF51,'Life Annuity Factors'!$B$14:$J$98,9)</f>
        <v>10.2579445846563</v>
      </c>
      <c r="AK51" s="39">
        <f t="shared" si="27"/>
        <v>598530.55062552576</v>
      </c>
    </row>
    <row r="52" spans="4:37" x14ac:dyDescent="0.25">
      <c r="D52" s="17">
        <f t="shared" si="18"/>
        <v>36</v>
      </c>
      <c r="E52" s="34">
        <f t="shared" si="11"/>
        <v>35176</v>
      </c>
      <c r="F52" s="34">
        <f t="shared" si="7"/>
        <v>42857</v>
      </c>
      <c r="G52" s="29"/>
      <c r="H52" s="34">
        <f t="shared" si="20"/>
        <v>3819</v>
      </c>
      <c r="I52" s="34">
        <f t="shared" si="19"/>
        <v>90620</v>
      </c>
      <c r="J52" s="34">
        <f t="shared" si="22"/>
        <v>90620</v>
      </c>
      <c r="K52" s="34">
        <f>ROUND(J52/VLOOKUP($D52,'Life Annuity Factors'!$B$14:$I$98,8),0)</f>
        <v>34541</v>
      </c>
      <c r="L52" s="12"/>
      <c r="M52" s="68">
        <f t="shared" si="25"/>
        <v>13312</v>
      </c>
      <c r="N52" s="68">
        <f>VLOOKUP(D52,'Life Annuity Factors'!$B$14:$I$98,8)*M52</f>
        <v>34924.274595008683</v>
      </c>
      <c r="O52" s="17">
        <f t="shared" si="8"/>
        <v>36</v>
      </c>
      <c r="P52" s="39">
        <f t="shared" si="21"/>
        <v>2970</v>
      </c>
      <c r="Q52" s="39">
        <f t="shared" si="12"/>
        <v>92350</v>
      </c>
      <c r="R52" s="39">
        <f t="shared" si="13"/>
        <v>46071</v>
      </c>
      <c r="S52" s="39">
        <f t="shared" si="14"/>
        <v>46279</v>
      </c>
      <c r="T52" s="39">
        <f t="shared" si="9"/>
        <v>69211</v>
      </c>
      <c r="U52" s="39">
        <f>ROUND(T52/VLOOKUP($D52,'Life Annuity Factors'!$B$14:$I$98,8),0)</f>
        <v>26381</v>
      </c>
      <c r="W52" s="17">
        <f t="shared" si="15"/>
        <v>36</v>
      </c>
      <c r="X52" s="39">
        <f t="shared" si="16"/>
        <v>0</v>
      </c>
      <c r="Y52" s="39">
        <f t="shared" si="17"/>
        <v>0</v>
      </c>
      <c r="Z52" s="39">
        <f t="shared" si="23"/>
        <v>0</v>
      </c>
      <c r="AA52" s="39">
        <f>ROUND(Z52/VLOOKUP($D52,'Life Annuity Factors'!$B$14:$I$98,8),0)</f>
        <v>0</v>
      </c>
      <c r="AB52" s="30"/>
      <c r="AC52" s="29">
        <f t="shared" si="10"/>
        <v>16</v>
      </c>
      <c r="AD52" s="33">
        <v>0.5</v>
      </c>
      <c r="AE52" s="35"/>
      <c r="AF52" s="29">
        <f t="shared" si="28"/>
        <v>71</v>
      </c>
      <c r="AG52" s="88">
        <v>1</v>
      </c>
      <c r="AH52" s="39" t="e">
        <f t="shared" si="26"/>
        <v>#N/A</v>
      </c>
      <c r="AI52" s="39" t="e">
        <f t="shared" si="24"/>
        <v>#N/A</v>
      </c>
      <c r="AJ52" s="87">
        <f>VLOOKUP(AF52,'Life Annuity Factors'!$B$14:$J$98,9)</f>
        <v>9.9348602281633713</v>
      </c>
      <c r="AK52" s="39" t="e">
        <f t="shared" si="27"/>
        <v>#N/A</v>
      </c>
    </row>
    <row r="53" spans="4:37" x14ac:dyDescent="0.25">
      <c r="D53" s="17">
        <f t="shared" si="18"/>
        <v>37</v>
      </c>
      <c r="E53" s="34">
        <f t="shared" si="11"/>
        <v>35528</v>
      </c>
      <c r="F53" s="34">
        <f t="shared" si="7"/>
        <v>43285</v>
      </c>
      <c r="G53" s="29"/>
      <c r="H53" s="34">
        <f t="shared" si="20"/>
        <v>3857</v>
      </c>
      <c r="I53" s="34">
        <f t="shared" si="19"/>
        <v>99103</v>
      </c>
      <c r="J53" s="34">
        <f t="shared" si="22"/>
        <v>99103</v>
      </c>
      <c r="K53" s="34">
        <f>ROUND(J53/VLOOKUP($D53,'Life Annuity Factors'!$B$14:$I$98,8),0)</f>
        <v>35951</v>
      </c>
      <c r="L53" s="12"/>
      <c r="M53" s="68">
        <f t="shared" si="25"/>
        <v>14286</v>
      </c>
      <c r="N53" s="68">
        <f>VLOOKUP(D53,'Life Annuity Factors'!$B$14:$I$98,8)*M53</f>
        <v>39380.972063395137</v>
      </c>
      <c r="O53" s="17">
        <f t="shared" si="8"/>
        <v>37</v>
      </c>
      <c r="P53" s="39">
        <f t="shared" si="21"/>
        <v>3000</v>
      </c>
      <c r="Q53" s="39">
        <f t="shared" si="12"/>
        <v>102856</v>
      </c>
      <c r="R53" s="39">
        <f t="shared" si="13"/>
        <v>49071</v>
      </c>
      <c r="S53" s="39">
        <f t="shared" si="14"/>
        <v>53785</v>
      </c>
      <c r="T53" s="39">
        <f t="shared" si="9"/>
        <v>75964</v>
      </c>
      <c r="U53" s="39">
        <f>ROUND(T53/VLOOKUP($D53,'Life Annuity Factors'!$B$14:$I$98,8),0)</f>
        <v>27557</v>
      </c>
      <c r="W53" s="17">
        <f t="shared" si="15"/>
        <v>37</v>
      </c>
      <c r="X53" s="39">
        <f t="shared" si="16"/>
        <v>0</v>
      </c>
      <c r="Y53" s="39">
        <f t="shared" si="17"/>
        <v>0</v>
      </c>
      <c r="Z53" s="39">
        <f t="shared" si="23"/>
        <v>0</v>
      </c>
      <c r="AA53" s="39">
        <f>ROUND(Z53/VLOOKUP($D53,'Life Annuity Factors'!$B$14:$I$98,8),0)</f>
        <v>0</v>
      </c>
      <c r="AB53" s="30"/>
      <c r="AC53" s="29">
        <f t="shared" si="10"/>
        <v>17</v>
      </c>
      <c r="AD53" s="33">
        <v>0.5</v>
      </c>
      <c r="AE53" s="35"/>
      <c r="AF53" s="29">
        <f t="shared" si="28"/>
        <v>72</v>
      </c>
      <c r="AG53" s="88">
        <v>1</v>
      </c>
      <c r="AH53" s="39" t="e">
        <f t="shared" si="26"/>
        <v>#N/A</v>
      </c>
      <c r="AI53" s="39" t="e">
        <f t="shared" si="24"/>
        <v>#N/A</v>
      </c>
      <c r="AJ53" s="87">
        <f>VLOOKUP(AF53,'Life Annuity Factors'!$B$14:$J$98,9)</f>
        <v>9.6060836974946735</v>
      </c>
      <c r="AK53" s="39" t="e">
        <f t="shared" si="27"/>
        <v>#N/A</v>
      </c>
    </row>
    <row r="54" spans="4:37" x14ac:dyDescent="0.25">
      <c r="D54" s="17">
        <f t="shared" si="18"/>
        <v>38</v>
      </c>
      <c r="E54" s="34">
        <f t="shared" si="11"/>
        <v>35883</v>
      </c>
      <c r="F54" s="34">
        <f t="shared" si="7"/>
        <v>43718</v>
      </c>
      <c r="G54" s="29"/>
      <c r="H54" s="34">
        <f t="shared" si="20"/>
        <v>3896</v>
      </c>
      <c r="I54" s="34">
        <f t="shared" si="19"/>
        <v>108050</v>
      </c>
      <c r="J54" s="34">
        <f t="shared" si="22"/>
        <v>108050</v>
      </c>
      <c r="K54" s="34">
        <f>ROUND(J54/VLOOKUP($D54,'Life Annuity Factors'!$B$14:$I$98,8),0)</f>
        <v>37303</v>
      </c>
      <c r="L54" s="12"/>
      <c r="M54" s="68">
        <f t="shared" si="25"/>
        <v>15277</v>
      </c>
      <c r="N54" s="68">
        <f>VLOOKUP(D54,'Life Annuity Factors'!$B$14:$I$98,8)*M54</f>
        <v>44250.501618665694</v>
      </c>
      <c r="O54" s="17">
        <f t="shared" si="8"/>
        <v>38</v>
      </c>
      <c r="P54" s="39">
        <f t="shared" si="21"/>
        <v>3030</v>
      </c>
      <c r="Q54" s="39">
        <f t="shared" si="12"/>
        <v>114233</v>
      </c>
      <c r="R54" s="39">
        <f t="shared" si="13"/>
        <v>52101</v>
      </c>
      <c r="S54" s="39">
        <f t="shared" si="14"/>
        <v>62132</v>
      </c>
      <c r="T54" s="39">
        <f t="shared" si="9"/>
        <v>89380</v>
      </c>
      <c r="U54" s="39">
        <f>ROUND(T54/VLOOKUP($D54,'Life Annuity Factors'!$B$14:$I$98,8),0)</f>
        <v>30857</v>
      </c>
      <c r="W54" s="17">
        <f t="shared" si="15"/>
        <v>38</v>
      </c>
      <c r="X54" s="39">
        <f t="shared" si="16"/>
        <v>0</v>
      </c>
      <c r="Y54" s="39">
        <f t="shared" si="17"/>
        <v>0</v>
      </c>
      <c r="Z54" s="39">
        <f t="shared" si="23"/>
        <v>0</v>
      </c>
      <c r="AA54" s="39">
        <f>ROUND(Z54/VLOOKUP($D54,'Life Annuity Factors'!$B$14:$I$98,8),0)</f>
        <v>0</v>
      </c>
      <c r="AB54" s="30"/>
      <c r="AC54" s="29">
        <f t="shared" si="10"/>
        <v>18</v>
      </c>
      <c r="AD54" s="33">
        <v>0.6</v>
      </c>
      <c r="AE54" s="35"/>
      <c r="AF54" s="29">
        <f t="shared" si="28"/>
        <v>73</v>
      </c>
      <c r="AG54" s="88">
        <v>1</v>
      </c>
      <c r="AH54" s="39" t="e">
        <f t="shared" si="26"/>
        <v>#N/A</v>
      </c>
      <c r="AI54" s="39" t="e">
        <f t="shared" si="24"/>
        <v>#N/A</v>
      </c>
      <c r="AJ54" s="87">
        <f>VLOOKUP(AF54,'Life Annuity Factors'!$B$14:$J$98,9)</f>
        <v>9.2736759500434118</v>
      </c>
      <c r="AK54" s="39" t="e">
        <f t="shared" si="27"/>
        <v>#N/A</v>
      </c>
    </row>
    <row r="55" spans="4:37" x14ac:dyDescent="0.25">
      <c r="D55" s="17">
        <f t="shared" si="18"/>
        <v>39</v>
      </c>
      <c r="E55" s="34">
        <f t="shared" si="11"/>
        <v>36242</v>
      </c>
      <c r="F55" s="34">
        <f t="shared" si="7"/>
        <v>44155</v>
      </c>
      <c r="G55" s="29"/>
      <c r="H55" s="34">
        <f t="shared" si="20"/>
        <v>3935</v>
      </c>
      <c r="I55" s="34">
        <f t="shared" si="19"/>
        <v>117485</v>
      </c>
      <c r="J55" s="34">
        <f t="shared" si="22"/>
        <v>117485</v>
      </c>
      <c r="K55" s="34">
        <f>ROUND(J55/VLOOKUP($D55,'Life Annuity Factors'!$B$14:$I$98,8),0)</f>
        <v>38599</v>
      </c>
      <c r="L55" s="12"/>
      <c r="M55" s="68">
        <f t="shared" si="25"/>
        <v>16287</v>
      </c>
      <c r="N55" s="68">
        <f>VLOOKUP(D55,'Life Annuity Factors'!$B$14:$I$98,8)*M55</f>
        <v>49572.908398798638</v>
      </c>
      <c r="O55" s="17">
        <f t="shared" si="8"/>
        <v>39</v>
      </c>
      <c r="P55" s="39">
        <f t="shared" si="21"/>
        <v>3060</v>
      </c>
      <c r="Q55" s="39">
        <f t="shared" si="12"/>
        <v>126552</v>
      </c>
      <c r="R55" s="39">
        <f t="shared" si="13"/>
        <v>55161</v>
      </c>
      <c r="S55" s="39">
        <f t="shared" si="14"/>
        <v>71391</v>
      </c>
      <c r="T55" s="39">
        <f t="shared" si="9"/>
        <v>97996</v>
      </c>
      <c r="U55" s="39">
        <f>ROUND(T55/VLOOKUP($D55,'Life Annuity Factors'!$B$14:$I$98,8),0)</f>
        <v>32196</v>
      </c>
      <c r="W55" s="17">
        <f t="shared" si="15"/>
        <v>39</v>
      </c>
      <c r="X55" s="39">
        <f t="shared" si="16"/>
        <v>0</v>
      </c>
      <c r="Y55" s="39">
        <f t="shared" si="17"/>
        <v>0</v>
      </c>
      <c r="Z55" s="39">
        <f t="shared" si="23"/>
        <v>0</v>
      </c>
      <c r="AA55" s="39">
        <f>ROUND(Z55/VLOOKUP($D55,'Life Annuity Factors'!$B$14:$I$98,8),0)</f>
        <v>0</v>
      </c>
      <c r="AB55" s="30"/>
      <c r="AC55" s="29">
        <f t="shared" si="10"/>
        <v>19</v>
      </c>
      <c r="AD55" s="33">
        <v>0.6</v>
      </c>
      <c r="AE55" s="35"/>
      <c r="AF55" s="29">
        <f t="shared" si="28"/>
        <v>74</v>
      </c>
      <c r="AG55" s="88">
        <v>1</v>
      </c>
      <c r="AH55" s="39" t="e">
        <f t="shared" si="26"/>
        <v>#N/A</v>
      </c>
      <c r="AI55" s="39" t="e">
        <f t="shared" si="24"/>
        <v>#N/A</v>
      </c>
      <c r="AJ55" s="87">
        <f>VLOOKUP(AF55,'Life Annuity Factors'!$B$14:$J$98,9)</f>
        <v>8.9375853395616236</v>
      </c>
      <c r="AK55" s="39" t="e">
        <f t="shared" si="27"/>
        <v>#N/A</v>
      </c>
    </row>
    <row r="56" spans="4:37" x14ac:dyDescent="0.25">
      <c r="D56" s="17">
        <f t="shared" si="18"/>
        <v>40</v>
      </c>
      <c r="E56" s="34">
        <f t="shared" si="11"/>
        <v>36604</v>
      </c>
      <c r="F56" s="34">
        <f t="shared" si="7"/>
        <v>44597</v>
      </c>
      <c r="G56" s="29"/>
      <c r="H56" s="34">
        <f t="shared" si="20"/>
        <v>3974</v>
      </c>
      <c r="I56" s="34">
        <f t="shared" si="19"/>
        <v>127431</v>
      </c>
      <c r="J56" s="34">
        <f t="shared" si="22"/>
        <v>127431</v>
      </c>
      <c r="K56" s="34">
        <f>ROUND(J56/VLOOKUP($D56,'Life Annuity Factors'!$B$14:$I$98,8),0)</f>
        <v>39841</v>
      </c>
      <c r="L56" s="12"/>
      <c r="M56" s="68">
        <f t="shared" si="25"/>
        <v>17316</v>
      </c>
      <c r="N56" s="68">
        <f>VLOOKUP(D56,'Life Annuity Factors'!$B$14:$I$98,8)*M56</f>
        <v>55385.500538103348</v>
      </c>
      <c r="O56" s="17">
        <f t="shared" si="8"/>
        <v>40</v>
      </c>
      <c r="P56" s="39">
        <f t="shared" si="21"/>
        <v>3091</v>
      </c>
      <c r="Q56" s="39">
        <f t="shared" si="12"/>
        <v>139888</v>
      </c>
      <c r="R56" s="39">
        <f t="shared" si="13"/>
        <v>58252</v>
      </c>
      <c r="S56" s="39">
        <f t="shared" si="14"/>
        <v>81636</v>
      </c>
      <c r="T56" s="39">
        <f t="shared" si="9"/>
        <v>107234</v>
      </c>
      <c r="U56" s="39">
        <f>ROUND(T56/VLOOKUP($D56,'Life Annuity Factors'!$B$14:$I$98,8),0)</f>
        <v>33526</v>
      </c>
      <c r="W56" s="17">
        <f t="shared" si="15"/>
        <v>40</v>
      </c>
      <c r="X56" s="39">
        <f t="shared" si="16"/>
        <v>0</v>
      </c>
      <c r="Y56" s="39">
        <f t="shared" si="17"/>
        <v>0</v>
      </c>
      <c r="Z56" s="39">
        <f t="shared" si="23"/>
        <v>0</v>
      </c>
      <c r="AA56" s="39">
        <f>ROUND(Z56/VLOOKUP($D56,'Life Annuity Factors'!$B$14:$I$98,8),0)</f>
        <v>0</v>
      </c>
      <c r="AB56" s="30"/>
      <c r="AC56" s="29">
        <f t="shared" si="10"/>
        <v>20</v>
      </c>
      <c r="AD56" s="33">
        <v>0.6</v>
      </c>
      <c r="AE56" s="35"/>
      <c r="AF56" s="29">
        <f t="shared" si="28"/>
        <v>75</v>
      </c>
      <c r="AG56" s="88">
        <v>1</v>
      </c>
      <c r="AH56" s="39" t="e">
        <f t="shared" si="26"/>
        <v>#N/A</v>
      </c>
      <c r="AI56" s="39" t="e">
        <f t="shared" si="24"/>
        <v>#N/A</v>
      </c>
      <c r="AJ56" s="87">
        <f>VLOOKUP(AF56,'Life Annuity Factors'!$B$14:$J$98,9)</f>
        <v>8.5980310459099627</v>
      </c>
      <c r="AK56" s="39" t="e">
        <f t="shared" si="27"/>
        <v>#N/A</v>
      </c>
    </row>
    <row r="57" spans="4:37" x14ac:dyDescent="0.25">
      <c r="D57" s="17">
        <f t="shared" si="18"/>
        <v>41</v>
      </c>
      <c r="E57" s="34">
        <f t="shared" si="11"/>
        <v>36970</v>
      </c>
      <c r="F57" s="34">
        <f t="shared" si="7"/>
        <v>45043</v>
      </c>
      <c r="G57" s="29"/>
      <c r="H57" s="34">
        <f t="shared" si="20"/>
        <v>4014</v>
      </c>
      <c r="I57" s="34">
        <f t="shared" si="19"/>
        <v>137916</v>
      </c>
      <c r="J57" s="34">
        <f t="shared" si="22"/>
        <v>137916</v>
      </c>
      <c r="K57" s="34">
        <f>ROUND(J57/VLOOKUP($D57,'Life Annuity Factors'!$B$14:$I$98,8),0)</f>
        <v>41029</v>
      </c>
      <c r="L57" s="12"/>
      <c r="M57" s="68">
        <f t="shared" si="25"/>
        <v>18363</v>
      </c>
      <c r="N57" s="68">
        <f>VLOOKUP(D57,'Life Annuity Factors'!$B$14:$I$98,8)*M57</f>
        <v>61725.317244394304</v>
      </c>
      <c r="O57" s="17">
        <f t="shared" si="8"/>
        <v>41</v>
      </c>
      <c r="P57" s="39">
        <f t="shared" si="21"/>
        <v>3122</v>
      </c>
      <c r="Q57" s="39">
        <f t="shared" si="12"/>
        <v>154324</v>
      </c>
      <c r="R57" s="39">
        <f t="shared" si="13"/>
        <v>61374</v>
      </c>
      <c r="S57" s="39">
        <f t="shared" si="14"/>
        <v>92950</v>
      </c>
      <c r="T57" s="39">
        <f t="shared" si="9"/>
        <v>117144</v>
      </c>
      <c r="U57" s="39">
        <f>ROUND(T57/VLOOKUP($D57,'Life Annuity Factors'!$B$14:$I$98,8),0)</f>
        <v>34850</v>
      </c>
      <c r="W57" s="17">
        <f t="shared" si="15"/>
        <v>41</v>
      </c>
      <c r="X57" s="39">
        <f t="shared" si="16"/>
        <v>0</v>
      </c>
      <c r="Y57" s="39">
        <f t="shared" si="17"/>
        <v>0</v>
      </c>
      <c r="Z57" s="39">
        <f t="shared" si="23"/>
        <v>0</v>
      </c>
      <c r="AA57" s="39">
        <f>ROUND(Z57/VLOOKUP($D57,'Life Annuity Factors'!$B$14:$I$98,8),0)</f>
        <v>0</v>
      </c>
      <c r="AB57" s="30"/>
      <c r="AC57" s="29">
        <f t="shared" si="10"/>
        <v>21</v>
      </c>
      <c r="AD57" s="33">
        <v>0.6</v>
      </c>
      <c r="AE57" s="35"/>
      <c r="AF57" s="29">
        <f t="shared" si="28"/>
        <v>76</v>
      </c>
      <c r="AG57" s="88">
        <v>1</v>
      </c>
      <c r="AH57" s="39" t="e">
        <f t="shared" si="26"/>
        <v>#N/A</v>
      </c>
      <c r="AI57" s="39" t="e">
        <f t="shared" si="24"/>
        <v>#N/A</v>
      </c>
      <c r="AJ57" s="87">
        <f>VLOOKUP(AF57,'Life Annuity Factors'!$B$14:$J$98,9)</f>
        <v>8.2563360794918559</v>
      </c>
      <c r="AK57" s="39" t="e">
        <f t="shared" si="27"/>
        <v>#N/A</v>
      </c>
    </row>
    <row r="58" spans="4:37" x14ac:dyDescent="0.25">
      <c r="D58" s="17">
        <f t="shared" si="18"/>
        <v>42</v>
      </c>
      <c r="E58" s="34">
        <f t="shared" si="11"/>
        <v>37340</v>
      </c>
      <c r="F58" s="34">
        <f t="shared" si="7"/>
        <v>45493</v>
      </c>
      <c r="G58" s="29"/>
      <c r="H58" s="34">
        <f t="shared" si="20"/>
        <v>4054</v>
      </c>
      <c r="I58" s="34">
        <f t="shared" si="19"/>
        <v>148966</v>
      </c>
      <c r="J58" s="34">
        <f t="shared" si="22"/>
        <v>148966</v>
      </c>
      <c r="K58" s="34">
        <f>ROUND(J58/VLOOKUP($D58,'Life Annuity Factors'!$B$14:$I$98,8),0)</f>
        <v>42167</v>
      </c>
      <c r="L58" s="12"/>
      <c r="M58" s="68">
        <f t="shared" si="25"/>
        <v>19430</v>
      </c>
      <c r="N58" s="68">
        <f>VLOOKUP(D58,'Life Annuity Factors'!$B$14:$I$98,8)*M58</f>
        <v>68642.30317061313</v>
      </c>
      <c r="O58" s="17">
        <f t="shared" si="8"/>
        <v>42</v>
      </c>
      <c r="P58" s="39">
        <f t="shared" si="21"/>
        <v>3153</v>
      </c>
      <c r="Q58" s="39">
        <f t="shared" si="12"/>
        <v>169947</v>
      </c>
      <c r="R58" s="39">
        <f t="shared" si="13"/>
        <v>64527</v>
      </c>
      <c r="S58" s="39">
        <f t="shared" si="14"/>
        <v>105420</v>
      </c>
      <c r="T58" s="39">
        <f t="shared" si="9"/>
        <v>127779</v>
      </c>
      <c r="U58" s="39">
        <f>ROUND(T58/VLOOKUP($D58,'Life Annuity Factors'!$B$14:$I$98,8),0)</f>
        <v>36169</v>
      </c>
      <c r="W58" s="17">
        <f t="shared" si="15"/>
        <v>42</v>
      </c>
      <c r="X58" s="39">
        <f t="shared" si="16"/>
        <v>0</v>
      </c>
      <c r="Y58" s="39">
        <f t="shared" si="17"/>
        <v>0</v>
      </c>
      <c r="Z58" s="39">
        <f t="shared" si="23"/>
        <v>0</v>
      </c>
      <c r="AA58" s="39">
        <f>ROUND(Z58/VLOOKUP($D58,'Life Annuity Factors'!$B$14:$I$98,8),0)</f>
        <v>0</v>
      </c>
      <c r="AB58" s="30"/>
      <c r="AC58" s="29">
        <f t="shared" si="10"/>
        <v>22</v>
      </c>
      <c r="AD58" s="33">
        <v>0.6</v>
      </c>
      <c r="AE58" s="35"/>
      <c r="AF58" s="29">
        <f t="shared" si="28"/>
        <v>77</v>
      </c>
      <c r="AG58" s="88">
        <v>1</v>
      </c>
      <c r="AH58" s="39" t="e">
        <f t="shared" si="26"/>
        <v>#N/A</v>
      </c>
      <c r="AI58" s="39" t="e">
        <f t="shared" si="24"/>
        <v>#N/A</v>
      </c>
      <c r="AJ58" s="87">
        <f>VLOOKUP(AF58,'Life Annuity Factors'!$B$14:$J$98,9)</f>
        <v>7.9132165605095546</v>
      </c>
      <c r="AK58" s="39" t="e">
        <f t="shared" si="27"/>
        <v>#N/A</v>
      </c>
    </row>
    <row r="59" spans="4:37" x14ac:dyDescent="0.25">
      <c r="D59" s="17">
        <f t="shared" si="18"/>
        <v>43</v>
      </c>
      <c r="E59" s="34">
        <f t="shared" si="11"/>
        <v>37713</v>
      </c>
      <c r="F59" s="34">
        <f t="shared" si="7"/>
        <v>45948</v>
      </c>
      <c r="G59" s="29"/>
      <c r="H59" s="34">
        <f t="shared" si="20"/>
        <v>4094</v>
      </c>
      <c r="I59" s="34">
        <f t="shared" si="19"/>
        <v>160609</v>
      </c>
      <c r="J59" s="34">
        <f t="shared" si="22"/>
        <v>160609</v>
      </c>
      <c r="K59" s="34">
        <f>ROUND(J59/VLOOKUP($D59,'Life Annuity Factors'!$B$14:$I$98,8),0)</f>
        <v>43253</v>
      </c>
      <c r="L59" s="12"/>
      <c r="M59" s="68">
        <f t="shared" si="25"/>
        <v>20517</v>
      </c>
      <c r="N59" s="68">
        <f>VLOOKUP(D59,'Life Annuity Factors'!$B$14:$I$98,8)*M59</f>
        <v>76183.836548707302</v>
      </c>
      <c r="O59" s="17">
        <f t="shared" si="8"/>
        <v>43</v>
      </c>
      <c r="P59" s="39">
        <f t="shared" si="21"/>
        <v>3185</v>
      </c>
      <c r="Q59" s="39">
        <f t="shared" si="12"/>
        <v>186853</v>
      </c>
      <c r="R59" s="39">
        <f t="shared" si="13"/>
        <v>67712</v>
      </c>
      <c r="S59" s="39">
        <f t="shared" si="14"/>
        <v>119141</v>
      </c>
      <c r="T59" s="39">
        <f t="shared" si="9"/>
        <v>157068</v>
      </c>
      <c r="U59" s="39">
        <f>ROUND(T59/VLOOKUP($D59,'Life Annuity Factors'!$B$14:$I$98,8),0)</f>
        <v>42300</v>
      </c>
      <c r="W59" s="17">
        <f t="shared" si="15"/>
        <v>43</v>
      </c>
      <c r="X59" s="39">
        <f t="shared" si="16"/>
        <v>0</v>
      </c>
      <c r="Y59" s="39">
        <f t="shared" si="17"/>
        <v>0</v>
      </c>
      <c r="Z59" s="39">
        <f t="shared" si="23"/>
        <v>0</v>
      </c>
      <c r="AA59" s="39">
        <f>ROUND(Z59/VLOOKUP($D59,'Life Annuity Factors'!$B$14:$I$98,8),0)</f>
        <v>0</v>
      </c>
      <c r="AB59" s="30"/>
      <c r="AC59" s="29">
        <f t="shared" si="10"/>
        <v>23</v>
      </c>
      <c r="AD59" s="33">
        <v>0.75</v>
      </c>
      <c r="AE59" s="35"/>
      <c r="AF59" s="29">
        <f t="shared" si="28"/>
        <v>78</v>
      </c>
      <c r="AG59" s="88">
        <v>1</v>
      </c>
      <c r="AH59" s="39" t="e">
        <f t="shared" si="26"/>
        <v>#N/A</v>
      </c>
      <c r="AI59" s="39" t="e">
        <f t="shared" si="24"/>
        <v>#N/A</v>
      </c>
      <c r="AJ59" s="87">
        <f>VLOOKUP(AF59,'Life Annuity Factors'!$B$14:$J$98,9)</f>
        <v>7.5733263935360746</v>
      </c>
      <c r="AK59" s="39" t="e">
        <f t="shared" si="27"/>
        <v>#N/A</v>
      </c>
    </row>
    <row r="60" spans="4:37" x14ac:dyDescent="0.25">
      <c r="D60" s="17">
        <f t="shared" si="18"/>
        <v>44</v>
      </c>
      <c r="E60" s="34">
        <f t="shared" si="11"/>
        <v>38090</v>
      </c>
      <c r="F60" s="34">
        <f t="shared" si="7"/>
        <v>46408</v>
      </c>
      <c r="G60" s="29"/>
      <c r="H60" s="34">
        <f t="shared" si="20"/>
        <v>4135</v>
      </c>
      <c r="I60" s="34">
        <f t="shared" si="19"/>
        <v>172877</v>
      </c>
      <c r="J60" s="34">
        <f t="shared" si="22"/>
        <v>172877</v>
      </c>
      <c r="K60" s="34">
        <f>ROUND(J60/VLOOKUP($D60,'Life Annuity Factors'!$B$14:$I$98,8),0)</f>
        <v>44292</v>
      </c>
      <c r="L60" s="12"/>
      <c r="M60" s="68">
        <f t="shared" si="25"/>
        <v>21623</v>
      </c>
      <c r="N60" s="68">
        <f>VLOOKUP(D60,'Life Annuity Factors'!$B$14:$I$98,8)*M60</f>
        <v>84396.641838850075</v>
      </c>
      <c r="O60" s="17">
        <f t="shared" si="8"/>
        <v>44</v>
      </c>
      <c r="P60" s="39">
        <f t="shared" si="21"/>
        <v>3216</v>
      </c>
      <c r="Q60" s="39">
        <f t="shared" si="12"/>
        <v>205143</v>
      </c>
      <c r="R60" s="39">
        <f t="shared" si="13"/>
        <v>70928</v>
      </c>
      <c r="S60" s="39">
        <f t="shared" si="14"/>
        <v>134215</v>
      </c>
      <c r="T60" s="39">
        <f t="shared" si="9"/>
        <v>171589</v>
      </c>
      <c r="U60" s="39">
        <f>ROUND(T60/VLOOKUP($D60,'Life Annuity Factors'!$B$14:$I$98,8),0)</f>
        <v>43962</v>
      </c>
      <c r="W60" s="17">
        <f t="shared" si="15"/>
        <v>44</v>
      </c>
      <c r="X60" s="39">
        <f t="shared" si="16"/>
        <v>0</v>
      </c>
      <c r="Y60" s="39">
        <f t="shared" si="17"/>
        <v>0</v>
      </c>
      <c r="Z60" s="39">
        <f t="shared" si="23"/>
        <v>0</v>
      </c>
      <c r="AA60" s="39">
        <f>ROUND(Z60/VLOOKUP($D60,'Life Annuity Factors'!$B$14:$I$98,8),0)</f>
        <v>0</v>
      </c>
      <c r="AB60" s="30"/>
      <c r="AC60" s="29">
        <f t="shared" si="10"/>
        <v>24</v>
      </c>
      <c r="AD60" s="33">
        <v>0.75</v>
      </c>
      <c r="AE60" s="35"/>
      <c r="AF60" s="29">
        <f t="shared" si="28"/>
        <v>79</v>
      </c>
      <c r="AG60" s="88">
        <v>1</v>
      </c>
      <c r="AH60" s="39" t="e">
        <f t="shared" si="26"/>
        <v>#N/A</v>
      </c>
      <c r="AI60" s="39" t="e">
        <f t="shared" si="24"/>
        <v>#N/A</v>
      </c>
      <c r="AJ60" s="87">
        <f>VLOOKUP(AF60,'Life Annuity Factors'!$B$14:$J$98,9)</f>
        <v>7.2374881323748816</v>
      </c>
      <c r="AK60" s="39" t="e">
        <f t="shared" si="27"/>
        <v>#N/A</v>
      </c>
    </row>
    <row r="61" spans="4:37" x14ac:dyDescent="0.25">
      <c r="D61" s="17">
        <f t="shared" si="18"/>
        <v>45</v>
      </c>
      <c r="E61" s="34">
        <f t="shared" si="11"/>
        <v>38471</v>
      </c>
      <c r="F61" s="34">
        <f t="shared" si="7"/>
        <v>46872</v>
      </c>
      <c r="G61" s="29"/>
      <c r="H61" s="34">
        <f t="shared" si="20"/>
        <v>4177</v>
      </c>
      <c r="I61" s="34">
        <f t="shared" si="19"/>
        <v>185801</v>
      </c>
      <c r="J61" s="34">
        <f t="shared" si="22"/>
        <v>185801</v>
      </c>
      <c r="K61" s="34">
        <f>ROUND(J61/VLOOKUP($D61,'Life Annuity Factors'!$B$14:$I$98,8),0)</f>
        <v>45284</v>
      </c>
      <c r="L61" s="12"/>
      <c r="M61" s="68">
        <f t="shared" si="25"/>
        <v>22749</v>
      </c>
      <c r="N61" s="68">
        <f>VLOOKUP(D61,'Life Annuity Factors'!$B$14:$I$98,8)*M61</f>
        <v>93338.582793973867</v>
      </c>
      <c r="O61" s="17">
        <f t="shared" si="8"/>
        <v>45</v>
      </c>
      <c r="P61" s="39">
        <f t="shared" si="21"/>
        <v>3249</v>
      </c>
      <c r="Q61" s="39">
        <f t="shared" si="12"/>
        <v>224931</v>
      </c>
      <c r="R61" s="39">
        <f t="shared" si="13"/>
        <v>74177</v>
      </c>
      <c r="S61" s="39">
        <f t="shared" si="14"/>
        <v>150754</v>
      </c>
      <c r="T61" s="39">
        <f t="shared" si="9"/>
        <v>187243</v>
      </c>
      <c r="U61" s="39">
        <f>ROUND(T61/VLOOKUP($D61,'Life Annuity Factors'!$B$14:$I$98,8),0)</f>
        <v>45636</v>
      </c>
      <c r="W61" s="17">
        <f t="shared" si="15"/>
        <v>45</v>
      </c>
      <c r="X61" s="39">
        <f t="shared" si="16"/>
        <v>0</v>
      </c>
      <c r="Y61" s="39">
        <f t="shared" si="17"/>
        <v>0</v>
      </c>
      <c r="Z61" s="39">
        <f t="shared" si="23"/>
        <v>0</v>
      </c>
      <c r="AA61" s="39">
        <f>ROUND(Z61/VLOOKUP($D61,'Life Annuity Factors'!$B$14:$I$98,8),0)</f>
        <v>0</v>
      </c>
      <c r="AB61" s="30"/>
      <c r="AC61" s="29">
        <f t="shared" si="10"/>
        <v>25</v>
      </c>
      <c r="AD61" s="33">
        <v>0.75</v>
      </c>
      <c r="AE61" s="35"/>
      <c r="AF61" s="29">
        <f t="shared" si="28"/>
        <v>80</v>
      </c>
      <c r="AG61" s="88">
        <v>1</v>
      </c>
      <c r="AH61" s="39" t="e">
        <f t="shared" si="26"/>
        <v>#N/A</v>
      </c>
      <c r="AI61" s="39" t="e">
        <f t="shared" si="24"/>
        <v>#N/A</v>
      </c>
      <c r="AJ61" s="87">
        <f>VLOOKUP(AF61,'Life Annuity Factors'!$B$14:$J$98,9)</f>
        <v>6.9072001909706682</v>
      </c>
      <c r="AK61" s="39" t="e">
        <f t="shared" si="27"/>
        <v>#N/A</v>
      </c>
    </row>
    <row r="62" spans="4:37" x14ac:dyDescent="0.25">
      <c r="D62" s="17">
        <f t="shared" si="18"/>
        <v>46</v>
      </c>
      <c r="E62" s="34">
        <f t="shared" si="11"/>
        <v>38856</v>
      </c>
      <c r="F62" s="34">
        <f t="shared" si="7"/>
        <v>47340</v>
      </c>
      <c r="G62" s="29"/>
      <c r="H62" s="34">
        <f t="shared" si="20"/>
        <v>4218</v>
      </c>
      <c r="I62" s="34">
        <f t="shared" si="19"/>
        <v>199413</v>
      </c>
      <c r="J62" s="34">
        <f t="shared" si="22"/>
        <v>199413</v>
      </c>
      <c r="K62" s="34">
        <f>ROUND(J62/VLOOKUP($D62,'Life Annuity Factors'!$B$14:$I$98,8),0)</f>
        <v>46231</v>
      </c>
      <c r="L62" s="12"/>
      <c r="M62" s="68">
        <f t="shared" si="25"/>
        <v>23895</v>
      </c>
      <c r="N62" s="68">
        <f>VLOOKUP(D62,'Life Annuity Factors'!$B$14:$I$98,8)*M62</f>
        <v>103068.62440191388</v>
      </c>
      <c r="O62" s="17">
        <f t="shared" si="8"/>
        <v>46</v>
      </c>
      <c r="P62" s="39">
        <f t="shared" si="21"/>
        <v>3281</v>
      </c>
      <c r="Q62" s="39">
        <f t="shared" si="12"/>
        <v>246335</v>
      </c>
      <c r="R62" s="39">
        <f t="shared" si="13"/>
        <v>77458</v>
      </c>
      <c r="S62" s="39">
        <f t="shared" si="14"/>
        <v>168877</v>
      </c>
      <c r="T62" s="39">
        <f t="shared" si="9"/>
        <v>204116</v>
      </c>
      <c r="U62" s="39">
        <f>ROUND(T62/VLOOKUP($D62,'Life Annuity Factors'!$B$14:$I$98,8),0)</f>
        <v>47321</v>
      </c>
      <c r="W62" s="17">
        <f t="shared" si="15"/>
        <v>46</v>
      </c>
      <c r="X62" s="39">
        <f t="shared" si="16"/>
        <v>0</v>
      </c>
      <c r="Y62" s="39">
        <f t="shared" si="17"/>
        <v>0</v>
      </c>
      <c r="Z62" s="39">
        <f t="shared" si="23"/>
        <v>0</v>
      </c>
      <c r="AA62" s="39">
        <f>ROUND(Z62/VLOOKUP($D62,'Life Annuity Factors'!$B$14:$I$98,8),0)</f>
        <v>0</v>
      </c>
      <c r="AB62" s="30"/>
      <c r="AC62" s="29">
        <f t="shared" si="10"/>
        <v>26</v>
      </c>
      <c r="AD62" s="33">
        <v>0.75</v>
      </c>
      <c r="AE62" s="35"/>
      <c r="AF62" s="29">
        <f t="shared" si="28"/>
        <v>81</v>
      </c>
      <c r="AG62" s="88">
        <v>1</v>
      </c>
      <c r="AH62" s="39" t="e">
        <f t="shared" si="26"/>
        <v>#N/A</v>
      </c>
      <c r="AI62" s="39" t="e">
        <f t="shared" si="24"/>
        <v>#N/A</v>
      </c>
      <c r="AJ62" s="87">
        <f>VLOOKUP(AF62,'Life Annuity Factors'!$B$14:$J$98,9)</f>
        <v>6.5831132822814897</v>
      </c>
      <c r="AK62" s="39" t="e">
        <f t="shared" si="27"/>
        <v>#N/A</v>
      </c>
    </row>
    <row r="63" spans="4:37" x14ac:dyDescent="0.25">
      <c r="D63" s="17">
        <f t="shared" si="18"/>
        <v>47</v>
      </c>
      <c r="E63" s="34">
        <f t="shared" si="11"/>
        <v>39245</v>
      </c>
      <c r="F63" s="34">
        <f t="shared" si="7"/>
        <v>47814</v>
      </c>
      <c r="G63" s="29"/>
      <c r="H63" s="34">
        <f t="shared" si="20"/>
        <v>4261</v>
      </c>
      <c r="I63" s="34">
        <f t="shared" si="19"/>
        <v>213750</v>
      </c>
      <c r="J63" s="34">
        <f t="shared" si="22"/>
        <v>213750</v>
      </c>
      <c r="K63" s="34">
        <f>ROUND(J63/VLOOKUP($D63,'Life Annuity Factors'!$B$14:$I$98,8),0)</f>
        <v>47133</v>
      </c>
      <c r="L63" s="12"/>
      <c r="M63" s="68">
        <f t="shared" si="25"/>
        <v>25063</v>
      </c>
      <c r="N63" s="68">
        <f>VLOOKUP(D63,'Life Annuity Factors'!$B$14:$I$98,8)*M63</f>
        <v>113661.00446353825</v>
      </c>
      <c r="O63" s="17">
        <f t="shared" si="8"/>
        <v>47</v>
      </c>
      <c r="P63" s="39">
        <f t="shared" si="21"/>
        <v>3314</v>
      </c>
      <c r="Q63" s="39">
        <f t="shared" si="12"/>
        <v>269486</v>
      </c>
      <c r="R63" s="39">
        <f t="shared" si="13"/>
        <v>80772</v>
      </c>
      <c r="S63" s="39">
        <f t="shared" si="14"/>
        <v>188714</v>
      </c>
      <c r="T63" s="39">
        <f t="shared" si="9"/>
        <v>222308</v>
      </c>
      <c r="U63" s="39">
        <f>ROUND(T63/VLOOKUP($D63,'Life Annuity Factors'!$B$14:$I$98,8),0)</f>
        <v>49020</v>
      </c>
      <c r="W63" s="17">
        <f t="shared" si="15"/>
        <v>47</v>
      </c>
      <c r="X63" s="39">
        <f t="shared" si="16"/>
        <v>0</v>
      </c>
      <c r="Y63" s="39">
        <f t="shared" si="17"/>
        <v>0</v>
      </c>
      <c r="Z63" s="39">
        <f t="shared" si="23"/>
        <v>0</v>
      </c>
      <c r="AA63" s="39">
        <f>ROUND(Z63/VLOOKUP($D63,'Life Annuity Factors'!$B$14:$I$98,8),0)</f>
        <v>0</v>
      </c>
      <c r="AB63" s="30"/>
      <c r="AC63" s="29">
        <f t="shared" si="10"/>
        <v>27</v>
      </c>
      <c r="AD63" s="33">
        <v>0.75</v>
      </c>
      <c r="AE63" s="35"/>
      <c r="AF63" s="29">
        <f t="shared" si="28"/>
        <v>82</v>
      </c>
      <c r="AG63" s="88">
        <v>1</v>
      </c>
      <c r="AH63" s="39" t="e">
        <f t="shared" si="26"/>
        <v>#N/A</v>
      </c>
      <c r="AI63" s="39" t="e">
        <f t="shared" si="24"/>
        <v>#N/A</v>
      </c>
      <c r="AJ63" s="87">
        <f>VLOOKUP(AF63,'Life Annuity Factors'!$B$14:$J$98,9)</f>
        <v>6.2661008854109266</v>
      </c>
      <c r="AK63" s="39" t="e">
        <f t="shared" si="27"/>
        <v>#N/A</v>
      </c>
    </row>
    <row r="64" spans="4:37" x14ac:dyDescent="0.25">
      <c r="D64" s="17">
        <f t="shared" ref="D64:D77" si="29">1+D63</f>
        <v>48</v>
      </c>
      <c r="E64" s="34">
        <f t="shared" si="11"/>
        <v>39637</v>
      </c>
      <c r="F64" s="34">
        <f t="shared" si="7"/>
        <v>48292</v>
      </c>
      <c r="G64" s="29"/>
      <c r="H64" s="34">
        <f t="shared" si="20"/>
        <v>4303</v>
      </c>
      <c r="I64" s="34">
        <f t="shared" si="19"/>
        <v>228847</v>
      </c>
      <c r="J64" s="34">
        <f t="shared" si="22"/>
        <v>228847</v>
      </c>
      <c r="K64" s="34">
        <f>ROUND(J64/VLOOKUP($D64,'Life Annuity Factors'!$B$14:$I$98,8),0)</f>
        <v>47991</v>
      </c>
      <c r="L64" s="12"/>
      <c r="M64" s="68">
        <f t="shared" si="25"/>
        <v>26251</v>
      </c>
      <c r="N64" s="68">
        <f>VLOOKUP(D64,'Life Annuity Factors'!$B$14:$I$98,8)*M64</f>
        <v>125179.0351263974</v>
      </c>
      <c r="O64" s="17">
        <f t="shared" si="8"/>
        <v>48</v>
      </c>
      <c r="P64" s="39">
        <f t="shared" si="21"/>
        <v>3347</v>
      </c>
      <c r="Q64" s="39">
        <f t="shared" si="12"/>
        <v>294523</v>
      </c>
      <c r="R64" s="39">
        <f t="shared" ref="R64:R77" si="30">R63+P64</f>
        <v>84119</v>
      </c>
      <c r="S64" s="39">
        <f t="shared" ref="S64:S77" si="31">Q64-R64</f>
        <v>210404</v>
      </c>
      <c r="T64" s="39">
        <f t="shared" si="9"/>
        <v>273483</v>
      </c>
      <c r="U64" s="39">
        <f>ROUND(T64/VLOOKUP($D64,'Life Annuity Factors'!$B$14:$I$98,8),0)</f>
        <v>57351</v>
      </c>
      <c r="W64" s="17">
        <f t="shared" si="15"/>
        <v>48</v>
      </c>
      <c r="X64" s="39">
        <f t="shared" si="16"/>
        <v>0</v>
      </c>
      <c r="Y64" s="39">
        <f t="shared" si="17"/>
        <v>0</v>
      </c>
      <c r="Z64" s="39">
        <f t="shared" si="23"/>
        <v>0</v>
      </c>
      <c r="AA64" s="39">
        <f>ROUND(Z64/VLOOKUP($D64,'Life Annuity Factors'!$B$14:$I$98,8),0)</f>
        <v>0</v>
      </c>
      <c r="AB64" s="30"/>
      <c r="AC64" s="29">
        <f t="shared" si="10"/>
        <v>28</v>
      </c>
      <c r="AD64" s="33">
        <v>0.9</v>
      </c>
      <c r="AE64" s="35"/>
    </row>
    <row r="65" spans="3:31" x14ac:dyDescent="0.25">
      <c r="D65" s="17">
        <f t="shared" si="29"/>
        <v>49</v>
      </c>
      <c r="E65" s="34">
        <f t="shared" si="11"/>
        <v>40033</v>
      </c>
      <c r="F65" s="34">
        <f t="shared" si="7"/>
        <v>48775</v>
      </c>
      <c r="G65" s="29"/>
      <c r="H65" s="34">
        <f t="shared" si="20"/>
        <v>4346</v>
      </c>
      <c r="I65" s="34">
        <f t="shared" si="19"/>
        <v>244743</v>
      </c>
      <c r="J65" s="34">
        <f t="shared" si="22"/>
        <v>244743</v>
      </c>
      <c r="K65" s="34">
        <f>ROUND(J65/VLOOKUP($D65,'Life Annuity Factors'!$B$14:$I$98,8),0)</f>
        <v>48804</v>
      </c>
      <c r="L65" s="12"/>
      <c r="M65" s="68">
        <f t="shared" si="25"/>
        <v>27460</v>
      </c>
      <c r="N65" s="68">
        <f>VLOOKUP(D65,'Life Annuity Factors'!$B$14:$I$98,8)*M65</f>
        <v>137705.91355500012</v>
      </c>
      <c r="O65" s="17">
        <f t="shared" si="8"/>
        <v>49</v>
      </c>
      <c r="P65" s="39">
        <f t="shared" si="21"/>
        <v>3380</v>
      </c>
      <c r="Q65" s="39">
        <f t="shared" si="12"/>
        <v>321597</v>
      </c>
      <c r="R65" s="39">
        <f t="shared" si="30"/>
        <v>87499</v>
      </c>
      <c r="S65" s="39">
        <f t="shared" si="31"/>
        <v>234098</v>
      </c>
      <c r="T65" s="39">
        <f t="shared" si="9"/>
        <v>298187</v>
      </c>
      <c r="U65" s="39">
        <f>ROUND(T65/VLOOKUP($D65,'Life Annuity Factors'!$B$14:$I$98,8),0)</f>
        <v>59462</v>
      </c>
      <c r="W65" s="17">
        <f t="shared" si="15"/>
        <v>49</v>
      </c>
      <c r="X65" s="39">
        <f t="shared" si="16"/>
        <v>0</v>
      </c>
      <c r="Y65" s="39">
        <f t="shared" si="17"/>
        <v>0</v>
      </c>
      <c r="Z65" s="39">
        <f t="shared" si="23"/>
        <v>0</v>
      </c>
      <c r="AA65" s="39">
        <f>ROUND(Z65/VLOOKUP($D65,'Life Annuity Factors'!$B$14:$I$98,8),0)</f>
        <v>0</v>
      </c>
      <c r="AB65" s="30"/>
      <c r="AC65" s="29">
        <f t="shared" si="10"/>
        <v>29</v>
      </c>
      <c r="AD65" s="33">
        <v>0.9</v>
      </c>
      <c r="AE65" s="35"/>
    </row>
    <row r="66" spans="3:31" x14ac:dyDescent="0.25">
      <c r="C66" s="39"/>
      <c r="D66" s="17">
        <f t="shared" si="29"/>
        <v>50</v>
      </c>
      <c r="E66" s="34">
        <f t="shared" si="11"/>
        <v>40433</v>
      </c>
      <c r="F66" s="34">
        <f t="shared" si="7"/>
        <v>49263</v>
      </c>
      <c r="G66" s="29"/>
      <c r="H66" s="34">
        <f t="shared" si="20"/>
        <v>4390</v>
      </c>
      <c r="I66" s="34">
        <f t="shared" si="19"/>
        <v>261479</v>
      </c>
      <c r="J66" s="34">
        <f t="shared" si="22"/>
        <v>261479</v>
      </c>
      <c r="K66" s="34">
        <f>ROUND(J66/VLOOKUP($D66,'Life Annuity Factors'!$B$14:$I$98,8),0)</f>
        <v>49574</v>
      </c>
      <c r="L66" s="12"/>
      <c r="M66" s="68">
        <f t="shared" si="25"/>
        <v>28691</v>
      </c>
      <c r="N66" s="68">
        <f>VLOOKUP(D66,'Life Annuity Factors'!$B$14:$I$98,8)*M66</f>
        <v>151329.90512628734</v>
      </c>
      <c r="O66" s="17">
        <f t="shared" si="8"/>
        <v>50</v>
      </c>
      <c r="P66" s="39">
        <f t="shared" si="21"/>
        <v>3414</v>
      </c>
      <c r="Q66" s="39">
        <f t="shared" si="12"/>
        <v>350873</v>
      </c>
      <c r="R66" s="39">
        <f t="shared" si="30"/>
        <v>90913</v>
      </c>
      <c r="S66" s="39">
        <f>Q66-R66</f>
        <v>259960</v>
      </c>
      <c r="T66" s="39">
        <f>ROUND(AD66*S66+R66,0)</f>
        <v>324877</v>
      </c>
      <c r="U66" s="39">
        <f>ROUND(T66/VLOOKUP($D66,'Life Annuity Factors'!$B$14:$I$98,8),0)</f>
        <v>61594</v>
      </c>
      <c r="W66" s="17">
        <f t="shared" si="15"/>
        <v>50</v>
      </c>
      <c r="X66" s="39">
        <f t="shared" si="16"/>
        <v>0</v>
      </c>
      <c r="Y66" s="39">
        <f t="shared" si="17"/>
        <v>0</v>
      </c>
      <c r="Z66" s="39">
        <f t="shared" si="23"/>
        <v>0</v>
      </c>
      <c r="AA66" s="39">
        <f>ROUND(Z66/VLOOKUP($D66,'Life Annuity Factors'!$B$14:$I$98,8),0)</f>
        <v>0</v>
      </c>
      <c r="AB66" s="30"/>
      <c r="AC66" s="29">
        <f t="shared" si="10"/>
        <v>30</v>
      </c>
      <c r="AD66" s="33">
        <v>0.9</v>
      </c>
      <c r="AE66" s="35"/>
    </row>
    <row r="67" spans="3:31" x14ac:dyDescent="0.25">
      <c r="D67" s="17">
        <f t="shared" si="29"/>
        <v>51</v>
      </c>
      <c r="E67" s="34">
        <f t="shared" si="11"/>
        <v>40837</v>
      </c>
      <c r="F67" s="34">
        <f t="shared" si="7"/>
        <v>49755</v>
      </c>
      <c r="G67" s="29"/>
      <c r="H67" s="34">
        <f t="shared" si="20"/>
        <v>4434</v>
      </c>
      <c r="I67" s="34">
        <f t="shared" si="19"/>
        <v>279096</v>
      </c>
      <c r="J67" s="34">
        <f t="shared" si="22"/>
        <v>279096</v>
      </c>
      <c r="K67" s="34">
        <f>ROUND(J67/VLOOKUP($D67,'Life Annuity Factors'!$B$14:$I$98,8),0)</f>
        <v>50301</v>
      </c>
      <c r="L67" s="12"/>
      <c r="M67" s="68">
        <f t="shared" si="25"/>
        <v>29944</v>
      </c>
      <c r="N67" s="68">
        <f>VLOOKUP(D67,'Life Annuity Factors'!$B$14:$I$98,8)*M67</f>
        <v>166146.39417852703</v>
      </c>
      <c r="O67" s="17">
        <f t="shared" si="8"/>
        <v>51</v>
      </c>
      <c r="P67" s="39">
        <f t="shared" si="21"/>
        <v>3448</v>
      </c>
      <c r="Q67" s="39">
        <f t="shared" si="12"/>
        <v>382526</v>
      </c>
      <c r="R67" s="39">
        <f t="shared" si="30"/>
        <v>94361</v>
      </c>
      <c r="S67" s="39">
        <f t="shared" si="31"/>
        <v>288165</v>
      </c>
      <c r="T67" s="39">
        <f t="shared" si="9"/>
        <v>353710</v>
      </c>
      <c r="U67" s="39">
        <f>ROUND(T67/VLOOKUP($D67,'Life Annuity Factors'!$B$14:$I$98,8),0)</f>
        <v>63748</v>
      </c>
      <c r="W67" s="17">
        <f t="shared" si="15"/>
        <v>51</v>
      </c>
      <c r="X67" s="39">
        <f t="shared" si="16"/>
        <v>0</v>
      </c>
      <c r="Y67" s="39">
        <f t="shared" si="17"/>
        <v>0</v>
      </c>
      <c r="Z67" s="39">
        <f t="shared" si="23"/>
        <v>0</v>
      </c>
      <c r="AA67" s="39">
        <f>ROUND(Z67/VLOOKUP($D67,'Life Annuity Factors'!$B$14:$I$98,8),0)</f>
        <v>0</v>
      </c>
      <c r="AB67" s="30"/>
      <c r="AC67" s="29">
        <f t="shared" si="10"/>
        <v>31</v>
      </c>
      <c r="AD67" s="33">
        <v>0.9</v>
      </c>
      <c r="AE67" s="35"/>
    </row>
    <row r="68" spans="3:31" x14ac:dyDescent="0.25">
      <c r="C68" s="23"/>
      <c r="D68" s="17">
        <f t="shared" si="29"/>
        <v>52</v>
      </c>
      <c r="E68" s="34">
        <f t="shared" si="11"/>
        <v>41245</v>
      </c>
      <c r="F68" s="34">
        <f t="shared" ref="F68:F86" si="32">ROUND(H$22*(1+H$7)^(D68-D$36),0)</f>
        <v>50253</v>
      </c>
      <c r="G68" s="29"/>
      <c r="H68" s="34">
        <f t="shared" si="20"/>
        <v>4478</v>
      </c>
      <c r="I68" s="34">
        <f t="shared" ref="I68:I86" si="33">ROUND(H68*(1+$H$8)^0.5+I67*(1+$H$8),0)</f>
        <v>297639</v>
      </c>
      <c r="J68" s="34">
        <f t="shared" si="22"/>
        <v>297639</v>
      </c>
      <c r="K68" s="34">
        <f>ROUND(J68/VLOOKUP($D68,'Life Annuity Factors'!$B$14:$I$98,8),0)</f>
        <v>50983</v>
      </c>
      <c r="L68" s="12"/>
      <c r="M68" s="68">
        <f t="shared" si="25"/>
        <v>31219</v>
      </c>
      <c r="N68" s="68">
        <f>VLOOKUP(D68,'Life Annuity Factors'!$B$14:$I$98,8)*M68</f>
        <v>182257.72126618368</v>
      </c>
      <c r="O68" s="17">
        <f t="shared" ref="O68:O86" si="34">D68</f>
        <v>52</v>
      </c>
      <c r="P68" s="39">
        <f t="shared" si="21"/>
        <v>3483</v>
      </c>
      <c r="Q68" s="39">
        <f t="shared" si="12"/>
        <v>416748</v>
      </c>
      <c r="R68" s="39">
        <f t="shared" si="30"/>
        <v>97844</v>
      </c>
      <c r="S68" s="39">
        <f t="shared" si="31"/>
        <v>318904</v>
      </c>
      <c r="T68" s="39">
        <f t="shared" ref="T68:T86" si="35">ROUND(AD68*S68+R68,0)</f>
        <v>384858</v>
      </c>
      <c r="U68" s="39">
        <f>ROUND(T68/VLOOKUP($D68,'Life Annuity Factors'!$B$14:$I$98,8),0)</f>
        <v>65922</v>
      </c>
      <c r="W68" s="17">
        <f t="shared" si="15"/>
        <v>52</v>
      </c>
      <c r="X68" s="39">
        <f t="shared" si="16"/>
        <v>0</v>
      </c>
      <c r="Y68" s="39">
        <f t="shared" si="17"/>
        <v>0</v>
      </c>
      <c r="Z68" s="39">
        <f t="shared" si="23"/>
        <v>0</v>
      </c>
      <c r="AA68" s="39">
        <f>ROUND(Z68/VLOOKUP($D68,'Life Annuity Factors'!$B$14:$I$98,8),0)</f>
        <v>0</v>
      </c>
      <c r="AB68" s="30"/>
      <c r="AC68" s="29">
        <f t="shared" ref="AC68:AC86" si="36">D68-$D$36</f>
        <v>32</v>
      </c>
      <c r="AD68" s="33">
        <v>0.9</v>
      </c>
      <c r="AE68" s="35"/>
    </row>
    <row r="69" spans="3:31" x14ac:dyDescent="0.25">
      <c r="D69" s="17">
        <f t="shared" si="29"/>
        <v>53</v>
      </c>
      <c r="E69" s="34">
        <f t="shared" ref="E69:E86" si="37">ROUND(E68*(1+H$7),0)</f>
        <v>41657</v>
      </c>
      <c r="F69" s="34">
        <f t="shared" si="32"/>
        <v>50755</v>
      </c>
      <c r="G69" s="29"/>
      <c r="H69" s="34">
        <f t="shared" si="20"/>
        <v>4523</v>
      </c>
      <c r="I69" s="34">
        <f t="shared" si="33"/>
        <v>317156</v>
      </c>
      <c r="J69" s="34">
        <f t="shared" si="22"/>
        <v>317156</v>
      </c>
      <c r="K69" s="34">
        <f>ROUND(J69/VLOOKUP($D69,'Life Annuity Factors'!$B$14:$I$98,8),0)</f>
        <v>51620</v>
      </c>
      <c r="L69" s="12"/>
      <c r="M69" s="68">
        <f t="shared" si="25"/>
        <v>32517</v>
      </c>
      <c r="N69" s="68">
        <f>VLOOKUP(D69,'Life Annuity Factors'!$B$14:$I$98,8)*M69</f>
        <v>199787.63847874949</v>
      </c>
      <c r="O69" s="17">
        <f t="shared" si="34"/>
        <v>53</v>
      </c>
      <c r="P69" s="39">
        <f t="shared" si="21"/>
        <v>3518</v>
      </c>
      <c r="Q69" s="39">
        <f t="shared" si="12"/>
        <v>453744</v>
      </c>
      <c r="R69" s="39">
        <f t="shared" si="30"/>
        <v>101362</v>
      </c>
      <c r="S69" s="39">
        <f t="shared" si="31"/>
        <v>352382</v>
      </c>
      <c r="T69" s="39">
        <f t="shared" si="35"/>
        <v>418506</v>
      </c>
      <c r="U69" s="39">
        <f>ROUND(T69/VLOOKUP($D69,'Life Annuity Factors'!$B$14:$I$98,8),0)</f>
        <v>68115</v>
      </c>
      <c r="W69" s="17">
        <f t="shared" si="15"/>
        <v>53</v>
      </c>
      <c r="X69" s="39">
        <f t="shared" si="16"/>
        <v>0</v>
      </c>
      <c r="Y69" s="39">
        <f t="shared" si="17"/>
        <v>0</v>
      </c>
      <c r="Z69" s="39">
        <f t="shared" si="23"/>
        <v>0</v>
      </c>
      <c r="AA69" s="39">
        <f>ROUND(Z69/VLOOKUP($D69,'Life Annuity Factors'!$B$14:$I$98,8),0)</f>
        <v>0</v>
      </c>
      <c r="AB69" s="30"/>
      <c r="AC69" s="29">
        <f t="shared" si="36"/>
        <v>33</v>
      </c>
      <c r="AD69" s="33">
        <v>0.9</v>
      </c>
      <c r="AE69" s="35"/>
    </row>
    <row r="70" spans="3:31" x14ac:dyDescent="0.25">
      <c r="D70" s="17">
        <f t="shared" si="29"/>
        <v>54</v>
      </c>
      <c r="E70" s="34">
        <f t="shared" si="37"/>
        <v>42074</v>
      </c>
      <c r="F70" s="34">
        <f t="shared" si="32"/>
        <v>51263</v>
      </c>
      <c r="G70" s="29"/>
      <c r="H70" s="34">
        <f t="shared" ref="H70:H86" si="38">ROUND(F69*$H$10,0)</f>
        <v>4568</v>
      </c>
      <c r="I70" s="34">
        <f t="shared" si="33"/>
        <v>337695</v>
      </c>
      <c r="J70" s="34">
        <f t="shared" si="22"/>
        <v>337695</v>
      </c>
      <c r="K70" s="34">
        <f>ROUND(J70/VLOOKUP($D70,'Life Annuity Factors'!$B$14:$I$98,8),0)</f>
        <v>52211</v>
      </c>
      <c r="L70" s="12"/>
      <c r="M70" s="68">
        <f t="shared" si="25"/>
        <v>33837</v>
      </c>
      <c r="N70" s="68">
        <f>VLOOKUP(D70,'Life Annuity Factors'!$B$14:$I$98,8)*M70</f>
        <v>218855.75475415174</v>
      </c>
      <c r="O70" s="17">
        <f t="shared" si="34"/>
        <v>54</v>
      </c>
      <c r="P70" s="39">
        <f t="shared" si="21"/>
        <v>3553</v>
      </c>
      <c r="Q70" s="39">
        <f t="shared" si="12"/>
        <v>493736</v>
      </c>
      <c r="R70" s="39">
        <f t="shared" si="30"/>
        <v>104915</v>
      </c>
      <c r="S70" s="39">
        <f t="shared" si="31"/>
        <v>388821</v>
      </c>
      <c r="T70" s="39">
        <f t="shared" si="35"/>
        <v>454854</v>
      </c>
      <c r="U70" s="39">
        <f>ROUND(T70/VLOOKUP($D70,'Life Annuity Factors'!$B$14:$I$98,8),0)</f>
        <v>70324</v>
      </c>
      <c r="W70" s="17">
        <f t="shared" si="15"/>
        <v>54</v>
      </c>
      <c r="X70" s="39">
        <f t="shared" si="16"/>
        <v>0</v>
      </c>
      <c r="Y70" s="39">
        <f t="shared" si="17"/>
        <v>0</v>
      </c>
      <c r="Z70" s="39">
        <f t="shared" si="23"/>
        <v>0</v>
      </c>
      <c r="AA70" s="39">
        <f>ROUND(Z70/VLOOKUP($D70,'Life Annuity Factors'!$B$14:$I$98,8),0)</f>
        <v>0</v>
      </c>
      <c r="AB70" s="30"/>
      <c r="AC70" s="29">
        <f t="shared" si="36"/>
        <v>34</v>
      </c>
      <c r="AD70" s="33">
        <v>0.9</v>
      </c>
      <c r="AE70" s="35"/>
    </row>
    <row r="71" spans="3:31" x14ac:dyDescent="0.25">
      <c r="D71" s="17">
        <f t="shared" si="29"/>
        <v>55</v>
      </c>
      <c r="E71" s="34">
        <f t="shared" si="37"/>
        <v>42495</v>
      </c>
      <c r="F71" s="34">
        <f t="shared" si="32"/>
        <v>51775</v>
      </c>
      <c r="G71" s="29"/>
      <c r="H71" s="34">
        <f t="shared" si="38"/>
        <v>4614</v>
      </c>
      <c r="I71" s="34">
        <f t="shared" si="33"/>
        <v>359308</v>
      </c>
      <c r="J71" s="34">
        <f t="shared" si="22"/>
        <v>359308</v>
      </c>
      <c r="K71" s="34">
        <f>ROUND(J71/VLOOKUP($D71,'Life Annuity Factors'!$B$14:$I$98,8),0)</f>
        <v>52756</v>
      </c>
      <c r="L71" s="12"/>
      <c r="M71" s="68">
        <f t="shared" si="25"/>
        <v>35180</v>
      </c>
      <c r="N71" s="68">
        <f>VLOOKUP(D71,'Life Annuity Factors'!$B$14:$I$98,8)*M71</f>
        <v>239602.9713404006</v>
      </c>
      <c r="O71" s="17">
        <f t="shared" si="34"/>
        <v>55</v>
      </c>
      <c r="P71" s="39">
        <f t="shared" si="21"/>
        <v>3588</v>
      </c>
      <c r="Q71" s="39">
        <f t="shared" si="12"/>
        <v>536964</v>
      </c>
      <c r="R71" s="39">
        <f t="shared" si="30"/>
        <v>108503</v>
      </c>
      <c r="S71" s="39">
        <f t="shared" si="31"/>
        <v>428461</v>
      </c>
      <c r="T71" s="39">
        <f t="shared" si="35"/>
        <v>494118</v>
      </c>
      <c r="U71" s="39">
        <f>ROUND(T71/VLOOKUP($D71,'Life Annuity Factors'!$B$14:$I$98,8),0)</f>
        <v>72549</v>
      </c>
      <c r="W71" s="17">
        <f t="shared" si="15"/>
        <v>55</v>
      </c>
      <c r="X71" s="39">
        <f t="shared" si="16"/>
        <v>0</v>
      </c>
      <c r="Y71" s="39">
        <f t="shared" si="17"/>
        <v>0</v>
      </c>
      <c r="Z71" s="39">
        <f t="shared" si="23"/>
        <v>0</v>
      </c>
      <c r="AA71" s="39">
        <f>ROUND(Z71/VLOOKUP($D71,'Life Annuity Factors'!$B$14:$I$98,8),0)</f>
        <v>0</v>
      </c>
      <c r="AB71" s="30"/>
      <c r="AC71" s="29">
        <f t="shared" si="36"/>
        <v>35</v>
      </c>
      <c r="AD71" s="33">
        <v>0.9</v>
      </c>
      <c r="AE71" s="35"/>
    </row>
    <row r="72" spans="3:31" x14ac:dyDescent="0.25">
      <c r="D72" s="17">
        <f t="shared" si="29"/>
        <v>56</v>
      </c>
      <c r="E72" s="34">
        <f t="shared" si="37"/>
        <v>42920</v>
      </c>
      <c r="F72" s="34">
        <f t="shared" si="32"/>
        <v>52293</v>
      </c>
      <c r="G72" s="29"/>
      <c r="H72" s="34">
        <f t="shared" si="38"/>
        <v>4660</v>
      </c>
      <c r="I72" s="34">
        <f t="shared" si="33"/>
        <v>382048</v>
      </c>
      <c r="J72" s="34">
        <f t="shared" si="22"/>
        <v>382048</v>
      </c>
      <c r="K72" s="34">
        <f>ROUND(J72/VLOOKUP($D72,'Life Annuity Factors'!$B$14:$I$98,8),0)</f>
        <v>53253</v>
      </c>
      <c r="L72" s="12"/>
      <c r="M72" s="68">
        <f t="shared" si="25"/>
        <v>36547</v>
      </c>
      <c r="N72" s="68">
        <f>VLOOKUP(D72,'Life Annuity Factors'!$B$14:$I$98,8)*M72</f>
        <v>262196.56453768356</v>
      </c>
      <c r="O72" s="17">
        <f t="shared" si="34"/>
        <v>56</v>
      </c>
      <c r="P72" s="39">
        <f t="shared" si="21"/>
        <v>3624</v>
      </c>
      <c r="Q72" s="39">
        <f t="shared" si="12"/>
        <v>583687</v>
      </c>
      <c r="R72" s="39">
        <f t="shared" si="30"/>
        <v>112127</v>
      </c>
      <c r="S72" s="39">
        <f t="shared" si="31"/>
        <v>471560</v>
      </c>
      <c r="T72" s="39">
        <f t="shared" si="35"/>
        <v>536531</v>
      </c>
      <c r="U72" s="39">
        <f>ROUND(T72/VLOOKUP($D72,'Life Annuity Factors'!$B$14:$I$98,8),0)</f>
        <v>74786</v>
      </c>
      <c r="W72" s="17">
        <f t="shared" si="15"/>
        <v>56</v>
      </c>
      <c r="X72" s="39">
        <f t="shared" si="16"/>
        <v>0</v>
      </c>
      <c r="Y72" s="39">
        <f t="shared" si="17"/>
        <v>0</v>
      </c>
      <c r="Z72" s="39">
        <f t="shared" si="23"/>
        <v>0</v>
      </c>
      <c r="AA72" s="39">
        <f>ROUND(Z72/VLOOKUP($D72,'Life Annuity Factors'!$B$14:$I$98,8),0)</f>
        <v>0</v>
      </c>
      <c r="AB72" s="30"/>
      <c r="AC72" s="29">
        <f t="shared" si="36"/>
        <v>36</v>
      </c>
      <c r="AD72" s="33">
        <v>0.9</v>
      </c>
      <c r="AE72" s="35"/>
    </row>
    <row r="73" spans="3:31" x14ac:dyDescent="0.25">
      <c r="D73" s="17">
        <f t="shared" si="29"/>
        <v>57</v>
      </c>
      <c r="E73" s="34">
        <f t="shared" si="37"/>
        <v>43349</v>
      </c>
      <c r="F73" s="34">
        <f t="shared" si="32"/>
        <v>52816</v>
      </c>
      <c r="G73" s="29"/>
      <c r="H73" s="34">
        <f t="shared" si="38"/>
        <v>4706</v>
      </c>
      <c r="I73" s="34">
        <f t="shared" si="33"/>
        <v>405973</v>
      </c>
      <c r="J73" s="34">
        <f t="shared" si="22"/>
        <v>405973</v>
      </c>
      <c r="K73" s="34">
        <f>ROUND(J73/VLOOKUP($D73,'Life Annuity Factors'!$B$14:$I$98,8),0)</f>
        <v>53698</v>
      </c>
      <c r="L73" s="12"/>
      <c r="M73" s="68">
        <f t="shared" si="25"/>
        <v>37938</v>
      </c>
      <c r="N73" s="68">
        <f>VLOOKUP(D73,'Life Annuity Factors'!$B$14:$I$98,8)*M73</f>
        <v>286820.83922658244</v>
      </c>
      <c r="O73" s="17">
        <f t="shared" si="34"/>
        <v>57</v>
      </c>
      <c r="P73" s="39">
        <f t="shared" si="21"/>
        <v>3661</v>
      </c>
      <c r="Q73" s="39">
        <f t="shared" si="12"/>
        <v>634187</v>
      </c>
      <c r="R73" s="39">
        <f t="shared" si="30"/>
        <v>115788</v>
      </c>
      <c r="S73" s="39">
        <f t="shared" si="31"/>
        <v>518399</v>
      </c>
      <c r="T73" s="39">
        <f t="shared" si="35"/>
        <v>582347</v>
      </c>
      <c r="U73" s="39">
        <f>ROUND(T73/VLOOKUP($D73,'Life Annuity Factors'!$B$14:$I$98,8),0)</f>
        <v>77027</v>
      </c>
      <c r="W73" s="17">
        <f t="shared" si="15"/>
        <v>57</v>
      </c>
      <c r="X73" s="39">
        <f t="shared" si="16"/>
        <v>0</v>
      </c>
      <c r="Y73" s="39">
        <f t="shared" si="17"/>
        <v>0</v>
      </c>
      <c r="Z73" s="39">
        <f t="shared" si="23"/>
        <v>0</v>
      </c>
      <c r="AA73" s="39">
        <f>ROUND(Z73/VLOOKUP($D73,'Life Annuity Factors'!$B$14:$I$98,8),0)</f>
        <v>0</v>
      </c>
      <c r="AB73" s="30"/>
      <c r="AC73" s="29">
        <f t="shared" si="36"/>
        <v>37</v>
      </c>
      <c r="AD73" s="33">
        <v>0.9</v>
      </c>
      <c r="AE73" s="35"/>
    </row>
    <row r="74" spans="3:31" x14ac:dyDescent="0.25">
      <c r="D74" s="17">
        <f t="shared" si="29"/>
        <v>58</v>
      </c>
      <c r="E74" s="34">
        <f t="shared" si="37"/>
        <v>43782</v>
      </c>
      <c r="F74" s="34">
        <f t="shared" si="32"/>
        <v>53344</v>
      </c>
      <c r="G74" s="29"/>
      <c r="H74" s="34">
        <f t="shared" si="38"/>
        <v>4753</v>
      </c>
      <c r="I74" s="34">
        <f t="shared" si="33"/>
        <v>431142</v>
      </c>
      <c r="J74" s="34">
        <f t="shared" si="22"/>
        <v>431142</v>
      </c>
      <c r="K74" s="34">
        <f>ROUND(J74/VLOOKUP($D74,'Life Annuity Factors'!$B$14:$I$98,8),0)</f>
        <v>54088</v>
      </c>
      <c r="L74" s="12"/>
      <c r="M74" s="68">
        <f t="shared" si="25"/>
        <v>39353</v>
      </c>
      <c r="N74" s="68">
        <f>VLOOKUP(D74,'Life Annuity Factors'!$B$14:$I$98,8)*M74</f>
        <v>313688.7768139012</v>
      </c>
      <c r="O74" s="17">
        <f t="shared" si="34"/>
        <v>58</v>
      </c>
      <c r="P74" s="39">
        <f t="shared" si="21"/>
        <v>3697</v>
      </c>
      <c r="Q74" s="39">
        <f t="shared" si="12"/>
        <v>688764</v>
      </c>
      <c r="R74" s="39">
        <f t="shared" si="30"/>
        <v>119485</v>
      </c>
      <c r="S74" s="39">
        <f t="shared" si="31"/>
        <v>569279</v>
      </c>
      <c r="T74" s="39">
        <f t="shared" si="35"/>
        <v>631836</v>
      </c>
      <c r="U74" s="39">
        <f>ROUND(T74/VLOOKUP($D74,'Life Annuity Factors'!$B$14:$I$98,8),0)</f>
        <v>79265</v>
      </c>
      <c r="W74" s="17">
        <f t="shared" si="15"/>
        <v>58</v>
      </c>
      <c r="X74" s="39">
        <f t="shared" si="16"/>
        <v>0</v>
      </c>
      <c r="Y74" s="39">
        <f t="shared" si="17"/>
        <v>0</v>
      </c>
      <c r="Z74" s="39">
        <f t="shared" si="23"/>
        <v>0</v>
      </c>
      <c r="AA74" s="39">
        <f>ROUND(Z74/VLOOKUP($D74,'Life Annuity Factors'!$B$14:$I$98,8),0)</f>
        <v>0</v>
      </c>
      <c r="AB74" s="30"/>
      <c r="AC74" s="29">
        <f t="shared" si="36"/>
        <v>38</v>
      </c>
      <c r="AD74" s="33">
        <v>0.9</v>
      </c>
      <c r="AE74" s="35"/>
    </row>
    <row r="75" spans="3:31" x14ac:dyDescent="0.25">
      <c r="D75" s="17">
        <f t="shared" si="29"/>
        <v>59</v>
      </c>
      <c r="E75" s="34">
        <f t="shared" si="37"/>
        <v>44220</v>
      </c>
      <c r="F75" s="34">
        <f t="shared" si="32"/>
        <v>53878</v>
      </c>
      <c r="G75" s="29"/>
      <c r="H75" s="34">
        <f t="shared" si="38"/>
        <v>4801</v>
      </c>
      <c r="I75" s="34">
        <f t="shared" si="33"/>
        <v>457619</v>
      </c>
      <c r="J75" s="34">
        <f t="shared" si="22"/>
        <v>457619</v>
      </c>
      <c r="K75" s="34">
        <f>ROUND(J75/VLOOKUP($D75,'Life Annuity Factors'!$B$14:$I$98,8),0)</f>
        <v>54418</v>
      </c>
      <c r="L75" s="12"/>
      <c r="M75" s="68">
        <f t="shared" si="25"/>
        <v>40793</v>
      </c>
      <c r="N75" s="68">
        <f>VLOOKUP(D75,'Life Annuity Factors'!$B$14:$I$98,8)*M75</f>
        <v>343043.04880010727</v>
      </c>
      <c r="O75" s="17">
        <f t="shared" si="34"/>
        <v>59</v>
      </c>
      <c r="P75" s="39">
        <f t="shared" si="21"/>
        <v>3734</v>
      </c>
      <c r="Q75" s="39">
        <f t="shared" si="12"/>
        <v>747746</v>
      </c>
      <c r="R75" s="39">
        <f t="shared" si="30"/>
        <v>123219</v>
      </c>
      <c r="S75" s="39">
        <f t="shared" si="31"/>
        <v>624527</v>
      </c>
      <c r="T75" s="39">
        <f t="shared" si="35"/>
        <v>685293</v>
      </c>
      <c r="U75" s="39">
        <f>ROUND(T75/VLOOKUP($D75,'Life Annuity Factors'!$B$14:$I$98,8),0)</f>
        <v>81492</v>
      </c>
      <c r="W75" s="17">
        <f t="shared" si="15"/>
        <v>59</v>
      </c>
      <c r="X75" s="39">
        <f t="shared" si="16"/>
        <v>0</v>
      </c>
      <c r="Y75" s="39">
        <f t="shared" si="17"/>
        <v>0</v>
      </c>
      <c r="Z75" s="39">
        <f t="shared" si="23"/>
        <v>0</v>
      </c>
      <c r="AA75" s="39">
        <f>ROUND(Z75/VLOOKUP($D75,'Life Annuity Factors'!$B$14:$I$98,8),0)</f>
        <v>0</v>
      </c>
      <c r="AB75" s="30"/>
      <c r="AC75" s="29">
        <f t="shared" si="36"/>
        <v>39</v>
      </c>
      <c r="AD75" s="33">
        <v>0.9</v>
      </c>
      <c r="AE75" s="35"/>
    </row>
    <row r="76" spans="3:31" x14ac:dyDescent="0.25">
      <c r="D76" s="17">
        <f t="shared" si="29"/>
        <v>60</v>
      </c>
      <c r="E76" s="34">
        <f t="shared" si="37"/>
        <v>44662</v>
      </c>
      <c r="F76" s="34">
        <f t="shared" si="32"/>
        <v>54416</v>
      </c>
      <c r="G76" s="29"/>
      <c r="H76" s="34">
        <f t="shared" si="38"/>
        <v>4849</v>
      </c>
      <c r="I76" s="34">
        <f t="shared" si="33"/>
        <v>485469</v>
      </c>
      <c r="J76" s="34">
        <f t="shared" si="22"/>
        <v>485469</v>
      </c>
      <c r="K76" s="34">
        <f>ROUND(J76/VLOOKUP($D76,'Life Annuity Factors'!$B$14:$I$98,8),0)</f>
        <v>54687</v>
      </c>
      <c r="L76" s="12"/>
      <c r="M76" s="68">
        <f t="shared" si="25"/>
        <v>42257</v>
      </c>
      <c r="N76" s="68">
        <f>VLOOKUP(D76,'Life Annuity Factors'!$B$14:$I$98,8)*M76</f>
        <v>375126.99518811784</v>
      </c>
      <c r="O76" s="17">
        <f t="shared" si="34"/>
        <v>60</v>
      </c>
      <c r="P76" s="39">
        <f t="shared" si="21"/>
        <v>3771</v>
      </c>
      <c r="Q76" s="39">
        <f t="shared" si="12"/>
        <v>811485</v>
      </c>
      <c r="R76" s="39">
        <f t="shared" si="30"/>
        <v>126990</v>
      </c>
      <c r="S76" s="39">
        <f t="shared" si="31"/>
        <v>684495</v>
      </c>
      <c r="T76" s="39">
        <f t="shared" si="35"/>
        <v>743036</v>
      </c>
      <c r="U76" s="39">
        <f>ROUND(T76/VLOOKUP($D76,'Life Annuity Factors'!$B$14:$I$98,8),0)</f>
        <v>83701</v>
      </c>
      <c r="W76" s="17">
        <f t="shared" si="15"/>
        <v>60</v>
      </c>
      <c r="X76" s="39">
        <f t="shared" si="16"/>
        <v>0</v>
      </c>
      <c r="Y76" s="39">
        <f t="shared" si="17"/>
        <v>0</v>
      </c>
      <c r="Z76" s="39">
        <f t="shared" si="23"/>
        <v>0</v>
      </c>
      <c r="AA76" s="39">
        <f>ROUND(Z76/VLOOKUP($D76,'Life Annuity Factors'!$B$14:$I$98,8),0)</f>
        <v>0</v>
      </c>
      <c r="AB76" s="30"/>
      <c r="AC76" s="29">
        <f t="shared" si="36"/>
        <v>40</v>
      </c>
      <c r="AD76" s="33">
        <v>0.9</v>
      </c>
      <c r="AE76" s="35"/>
    </row>
    <row r="77" spans="3:31" x14ac:dyDescent="0.25">
      <c r="D77" s="17">
        <f t="shared" si="29"/>
        <v>61</v>
      </c>
      <c r="E77" s="34">
        <f t="shared" si="37"/>
        <v>45109</v>
      </c>
      <c r="F77" s="34">
        <f t="shared" si="32"/>
        <v>54961</v>
      </c>
      <c r="G77" s="29"/>
      <c r="H77" s="34">
        <f t="shared" si="38"/>
        <v>4897</v>
      </c>
      <c r="I77" s="34">
        <f t="shared" si="33"/>
        <v>514760</v>
      </c>
      <c r="J77" s="34">
        <f t="shared" si="22"/>
        <v>514760</v>
      </c>
      <c r="K77" s="34">
        <f>ROUND(J77/VLOOKUP($D77,'Life Annuity Factors'!$B$14:$I$98,8),0)</f>
        <v>54890</v>
      </c>
      <c r="L77" s="12"/>
      <c r="M77" s="68">
        <f t="shared" si="25"/>
        <v>43747</v>
      </c>
      <c r="N77" s="68">
        <f>VLOOKUP(D77,'Life Annuity Factors'!$B$14:$I$98,8)*M77</f>
        <v>410258.89301480132</v>
      </c>
      <c r="O77" s="17">
        <f t="shared" si="34"/>
        <v>61</v>
      </c>
      <c r="P77" s="39">
        <f t="shared" si="21"/>
        <v>3809</v>
      </c>
      <c r="Q77" s="39">
        <f t="shared" si="12"/>
        <v>880362</v>
      </c>
      <c r="R77" s="39">
        <f t="shared" si="30"/>
        <v>130799</v>
      </c>
      <c r="S77" s="39">
        <f t="shared" si="31"/>
        <v>749563</v>
      </c>
      <c r="T77" s="39">
        <f t="shared" si="35"/>
        <v>805406</v>
      </c>
      <c r="U77" s="39">
        <f>ROUND(T77/VLOOKUP($D77,'Life Annuity Factors'!$B$14:$I$98,8),0)</f>
        <v>85883</v>
      </c>
      <c r="W77" s="17">
        <f t="shared" si="15"/>
        <v>61</v>
      </c>
      <c r="X77" s="39">
        <f t="shared" si="16"/>
        <v>0</v>
      </c>
      <c r="Y77" s="39">
        <f t="shared" si="17"/>
        <v>0</v>
      </c>
      <c r="Z77" s="39">
        <f t="shared" si="23"/>
        <v>0</v>
      </c>
      <c r="AA77" s="39">
        <f>ROUND(Z77/VLOOKUP($D77,'Life Annuity Factors'!$B$14:$I$98,8),0)</f>
        <v>0</v>
      </c>
      <c r="AB77" s="30"/>
      <c r="AC77" s="29">
        <f t="shared" si="36"/>
        <v>41</v>
      </c>
      <c r="AD77" s="33">
        <v>0.9</v>
      </c>
      <c r="AE77" s="35"/>
    </row>
    <row r="78" spans="3:31" x14ac:dyDescent="0.25">
      <c r="D78" s="17">
        <f t="shared" ref="D78:D86" si="39">1+D77</f>
        <v>62</v>
      </c>
      <c r="E78" s="34">
        <f t="shared" si="37"/>
        <v>45560</v>
      </c>
      <c r="F78" s="34">
        <f t="shared" si="32"/>
        <v>55510</v>
      </c>
      <c r="G78" s="29"/>
      <c r="H78" s="34">
        <f t="shared" si="38"/>
        <v>4946</v>
      </c>
      <c r="I78" s="34">
        <f t="shared" si="33"/>
        <v>545566</v>
      </c>
      <c r="J78" s="34">
        <f t="shared" si="22"/>
        <v>545566</v>
      </c>
      <c r="K78" s="34">
        <f>ROUND(J78/VLOOKUP($D78,'Life Annuity Factors'!$B$14:$I$98,8),0)</f>
        <v>55022</v>
      </c>
      <c r="L78" s="12"/>
      <c r="M78" s="68">
        <f t="shared" si="25"/>
        <v>45262</v>
      </c>
      <c r="N78" s="68">
        <f>VLOOKUP(D78,'Life Annuity Factors'!$B$14:$I$98,8)*M78</f>
        <v>448791.39852739294</v>
      </c>
      <c r="O78" s="17">
        <f t="shared" si="34"/>
        <v>62</v>
      </c>
      <c r="P78" s="39">
        <f t="shared" si="21"/>
        <v>3847</v>
      </c>
      <c r="Q78" s="39">
        <f t="shared" si="12"/>
        <v>954789</v>
      </c>
      <c r="R78" s="39">
        <f t="shared" ref="R78:R86" si="40">R77+P78</f>
        <v>134646</v>
      </c>
      <c r="S78" s="39">
        <f t="shared" ref="S78:S86" si="41">Q78-R78</f>
        <v>820143</v>
      </c>
      <c r="T78" s="39">
        <f t="shared" si="35"/>
        <v>872775</v>
      </c>
      <c r="U78" s="39">
        <f>ROUND(T78/VLOOKUP($D78,'Life Annuity Factors'!$B$14:$I$98,8),0)</f>
        <v>88022</v>
      </c>
      <c r="W78" s="17">
        <f t="shared" si="15"/>
        <v>62</v>
      </c>
      <c r="X78" s="39">
        <f t="shared" si="16"/>
        <v>0</v>
      </c>
      <c r="Y78" s="39">
        <f t="shared" si="17"/>
        <v>0</v>
      </c>
      <c r="Z78" s="39">
        <f t="shared" si="23"/>
        <v>0</v>
      </c>
      <c r="AA78" s="39">
        <f>ROUND(Z78/VLOOKUP($D78,'Life Annuity Factors'!$B$14:$I$98,8),0)</f>
        <v>0</v>
      </c>
      <c r="AB78" s="30"/>
      <c r="AC78" s="29">
        <f t="shared" si="36"/>
        <v>42</v>
      </c>
      <c r="AD78" s="33">
        <v>0.9</v>
      </c>
      <c r="AE78" s="35"/>
    </row>
    <row r="79" spans="3:31" x14ac:dyDescent="0.25">
      <c r="D79" s="17">
        <f t="shared" si="39"/>
        <v>63</v>
      </c>
      <c r="E79" s="34">
        <f t="shared" si="37"/>
        <v>46016</v>
      </c>
      <c r="F79" s="34">
        <f t="shared" si="32"/>
        <v>56065</v>
      </c>
      <c r="G79" s="29"/>
      <c r="H79" s="34">
        <f t="shared" si="38"/>
        <v>4996</v>
      </c>
      <c r="I79" s="34">
        <f t="shared" si="33"/>
        <v>577964</v>
      </c>
      <c r="J79" s="34">
        <f t="shared" si="22"/>
        <v>577964</v>
      </c>
      <c r="K79" s="34">
        <f>ROUND(J79/VLOOKUP($D79,'Life Annuity Factors'!$B$14:$I$98,8),0)</f>
        <v>55078</v>
      </c>
      <c r="L79" s="12"/>
      <c r="M79" s="68">
        <f t="shared" si="25"/>
        <v>46803</v>
      </c>
      <c r="N79" s="68">
        <f>VLOOKUP(D79,'Life Annuity Factors'!$B$14:$I$98,8)*M79</f>
        <v>491129.22744842526</v>
      </c>
      <c r="O79" s="17">
        <f t="shared" si="34"/>
        <v>63</v>
      </c>
      <c r="P79" s="39">
        <f t="shared" si="21"/>
        <v>3886</v>
      </c>
      <c r="Q79" s="39">
        <f t="shared" si="12"/>
        <v>1035211</v>
      </c>
      <c r="R79" s="39">
        <f t="shared" si="40"/>
        <v>138532</v>
      </c>
      <c r="S79" s="39">
        <f t="shared" si="41"/>
        <v>896679</v>
      </c>
      <c r="T79" s="39">
        <f t="shared" si="35"/>
        <v>945543</v>
      </c>
      <c r="U79" s="39">
        <f>ROUND(T79/VLOOKUP($D79,'Life Annuity Factors'!$B$14:$I$98,8),0)</f>
        <v>90107</v>
      </c>
      <c r="W79" s="17">
        <f t="shared" si="15"/>
        <v>63</v>
      </c>
      <c r="X79" s="39">
        <f t="shared" si="16"/>
        <v>0</v>
      </c>
      <c r="Y79" s="39">
        <f t="shared" si="17"/>
        <v>0</v>
      </c>
      <c r="Z79" s="39">
        <f t="shared" si="23"/>
        <v>0</v>
      </c>
      <c r="AA79" s="39">
        <f>ROUND(Z79/VLOOKUP($D79,'Life Annuity Factors'!$B$14:$I$98,8),0)</f>
        <v>0</v>
      </c>
      <c r="AB79" s="30"/>
      <c r="AC79" s="29">
        <f t="shared" si="36"/>
        <v>43</v>
      </c>
      <c r="AD79" s="33">
        <v>0.9</v>
      </c>
      <c r="AE79" s="35"/>
    </row>
    <row r="80" spans="3:31" x14ac:dyDescent="0.25">
      <c r="D80" s="17">
        <f t="shared" si="39"/>
        <v>64</v>
      </c>
      <c r="E80" s="34">
        <f t="shared" si="37"/>
        <v>46476</v>
      </c>
      <c r="F80" s="34">
        <f t="shared" si="32"/>
        <v>56626</v>
      </c>
      <c r="G80" s="29"/>
      <c r="H80" s="34">
        <f t="shared" si="38"/>
        <v>5046</v>
      </c>
      <c r="I80" s="34">
        <f t="shared" si="33"/>
        <v>612033</v>
      </c>
      <c r="J80" s="34">
        <f t="shared" si="22"/>
        <v>612033</v>
      </c>
      <c r="K80" s="34">
        <f>ROUND(J80/VLOOKUP($D80,'Life Annuity Factors'!$B$14:$I$98,8),0)</f>
        <v>55050</v>
      </c>
      <c r="L80" s="12"/>
      <c r="M80" s="68">
        <f t="shared" si="25"/>
        <v>48370</v>
      </c>
      <c r="N80" s="68">
        <f>VLOOKUP(D80,'Life Annuity Factors'!$B$14:$I$98,8)*M80</f>
        <v>537767.67519310419</v>
      </c>
      <c r="O80" s="17">
        <f t="shared" si="34"/>
        <v>64</v>
      </c>
      <c r="P80" s="39">
        <f t="shared" si="21"/>
        <v>3925</v>
      </c>
      <c r="Q80" s="39">
        <f t="shared" si="12"/>
        <v>1122107</v>
      </c>
      <c r="R80" s="39">
        <f t="shared" si="40"/>
        <v>142457</v>
      </c>
      <c r="S80" s="39">
        <f t="shared" si="41"/>
        <v>979650</v>
      </c>
      <c r="T80" s="39">
        <f t="shared" si="35"/>
        <v>1024142</v>
      </c>
      <c r="U80" s="39">
        <f>ROUND(T80/VLOOKUP($D80,'Life Annuity Factors'!$B$14:$I$98,8),0)</f>
        <v>92117</v>
      </c>
      <c r="W80" s="17">
        <f t="shared" si="15"/>
        <v>64</v>
      </c>
      <c r="X80" s="39">
        <f t="shared" si="16"/>
        <v>0</v>
      </c>
      <c r="Y80" s="39">
        <f t="shared" si="17"/>
        <v>0</v>
      </c>
      <c r="Z80" s="39">
        <f t="shared" si="23"/>
        <v>0</v>
      </c>
      <c r="AA80" s="39">
        <f>ROUND(Z80/VLOOKUP($D80,'Life Annuity Factors'!$B$14:$I$98,8),0)</f>
        <v>0</v>
      </c>
      <c r="AB80" s="30"/>
      <c r="AC80" s="29">
        <f t="shared" si="36"/>
        <v>44</v>
      </c>
      <c r="AD80" s="33">
        <v>0.9</v>
      </c>
      <c r="AE80" s="35"/>
    </row>
    <row r="81" spans="4:31" x14ac:dyDescent="0.25">
      <c r="D81" s="17">
        <f t="shared" si="39"/>
        <v>65</v>
      </c>
      <c r="E81" s="34">
        <f t="shared" si="37"/>
        <v>46941</v>
      </c>
      <c r="F81" s="34">
        <f t="shared" si="32"/>
        <v>57192</v>
      </c>
      <c r="G81" s="29"/>
      <c r="H81" s="34">
        <f t="shared" si="38"/>
        <v>5096</v>
      </c>
      <c r="I81" s="34">
        <f t="shared" si="33"/>
        <v>647856</v>
      </c>
      <c r="J81" s="34">
        <f t="shared" si="22"/>
        <v>647856</v>
      </c>
      <c r="K81" s="34">
        <f>ROUND(J81/VLOOKUP($D81,'Life Annuity Factors'!$B$14:$I$98,8),0)</f>
        <v>54934</v>
      </c>
      <c r="L81" s="12"/>
      <c r="M81" s="68">
        <f t="shared" si="25"/>
        <v>49964</v>
      </c>
      <c r="N81" s="68">
        <f>VLOOKUP(D81,'Life Annuity Factors'!$B$14:$I$98,8)*M81</f>
        <v>589245.91373014695</v>
      </c>
      <c r="O81" s="17">
        <f t="shared" si="34"/>
        <v>65</v>
      </c>
      <c r="P81" s="39">
        <f t="shared" si="21"/>
        <v>3964</v>
      </c>
      <c r="Q81" s="39">
        <f t="shared" si="12"/>
        <v>1215995</v>
      </c>
      <c r="R81" s="39">
        <f t="shared" si="40"/>
        <v>146421</v>
      </c>
      <c r="S81" s="39">
        <f t="shared" si="41"/>
        <v>1069574</v>
      </c>
      <c r="T81" s="39">
        <f t="shared" si="35"/>
        <v>1109038</v>
      </c>
      <c r="U81" s="39">
        <f>ROUND(T81/VLOOKUP($D81,'Life Annuity Factors'!$B$14:$I$98,8),0)</f>
        <v>94039</v>
      </c>
      <c r="W81" s="17">
        <f t="shared" si="15"/>
        <v>65</v>
      </c>
      <c r="X81" s="39">
        <f t="shared" si="16"/>
        <v>0</v>
      </c>
      <c r="Y81" s="39">
        <f t="shared" si="17"/>
        <v>0</v>
      </c>
      <c r="Z81" s="39">
        <f t="shared" si="23"/>
        <v>0</v>
      </c>
      <c r="AA81" s="39">
        <f>ROUND(Z81/VLOOKUP($D81,'Life Annuity Factors'!$B$14:$I$98,8),0)</f>
        <v>0</v>
      </c>
      <c r="AB81" s="30"/>
      <c r="AC81" s="29">
        <f t="shared" si="36"/>
        <v>45</v>
      </c>
      <c r="AD81" s="33">
        <v>0.9</v>
      </c>
      <c r="AE81" s="35"/>
    </row>
    <row r="82" spans="4:31" x14ac:dyDescent="0.25">
      <c r="D82" s="17">
        <f t="shared" si="39"/>
        <v>66</v>
      </c>
      <c r="E82" s="34">
        <f t="shared" si="37"/>
        <v>47410</v>
      </c>
      <c r="F82" s="34">
        <f t="shared" si="32"/>
        <v>57764</v>
      </c>
      <c r="G82" s="29"/>
      <c r="H82" s="34">
        <f t="shared" si="38"/>
        <v>5147</v>
      </c>
      <c r="I82" s="34">
        <f t="shared" si="33"/>
        <v>685523</v>
      </c>
      <c r="J82" s="34">
        <f t="shared" si="22"/>
        <v>685523</v>
      </c>
      <c r="K82" s="34">
        <f>ROUND(J82/VLOOKUP($D82,'Life Annuity Factors'!$B$14:$I$98,8),0)</f>
        <v>59649</v>
      </c>
      <c r="L82" s="12"/>
      <c r="M82" s="68">
        <f t="shared" si="25"/>
        <v>51585</v>
      </c>
      <c r="N82" s="68">
        <f>VLOOKUP(D82,'Life Annuity Factors'!$B$14:$I$98,8)*M82</f>
        <v>592850.67824935366</v>
      </c>
      <c r="O82" s="17">
        <f t="shared" si="34"/>
        <v>66</v>
      </c>
      <c r="P82" s="39">
        <f t="shared" si="21"/>
        <v>4003</v>
      </c>
      <c r="Q82" s="39">
        <f t="shared" si="12"/>
        <v>1317435</v>
      </c>
      <c r="R82" s="39">
        <f t="shared" si="40"/>
        <v>150424</v>
      </c>
      <c r="S82" s="39">
        <f t="shared" si="41"/>
        <v>1167011</v>
      </c>
      <c r="T82" s="39">
        <f t="shared" si="35"/>
        <v>1200734</v>
      </c>
      <c r="U82" s="39">
        <f>ROUND(T82/VLOOKUP($D82,'Life Annuity Factors'!$B$14:$I$98,8),0)</f>
        <v>104478</v>
      </c>
      <c r="W82" s="17">
        <f t="shared" si="15"/>
        <v>66</v>
      </c>
      <c r="X82" s="39">
        <f t="shared" si="16"/>
        <v>0</v>
      </c>
      <c r="Y82" s="39">
        <f t="shared" si="17"/>
        <v>0</v>
      </c>
      <c r="Z82" s="39">
        <f t="shared" si="23"/>
        <v>0</v>
      </c>
      <c r="AA82" s="39">
        <f>ROUND(Z82/VLOOKUP($D82,'Life Annuity Factors'!$B$14:$I$98,8),0)</f>
        <v>0</v>
      </c>
      <c r="AB82" s="30"/>
      <c r="AC82" s="29">
        <f t="shared" si="36"/>
        <v>46</v>
      </c>
      <c r="AD82" s="33">
        <v>0.9</v>
      </c>
      <c r="AE82" s="35"/>
    </row>
    <row r="83" spans="4:31" x14ac:dyDescent="0.25">
      <c r="D83" s="17">
        <f t="shared" si="39"/>
        <v>67</v>
      </c>
      <c r="E83" s="34">
        <f t="shared" si="37"/>
        <v>47884</v>
      </c>
      <c r="F83" s="34">
        <f t="shared" si="32"/>
        <v>58342</v>
      </c>
      <c r="G83" s="29"/>
      <c r="H83" s="34">
        <f t="shared" si="38"/>
        <v>5199</v>
      </c>
      <c r="I83" s="34">
        <f t="shared" si="33"/>
        <v>725127</v>
      </c>
      <c r="J83" s="34">
        <f t="shared" si="22"/>
        <v>725127</v>
      </c>
      <c r="K83" s="34">
        <f>ROUND(J83/VLOOKUP($D83,'Life Annuity Factors'!$B$14:$I$98,8),0)</f>
        <v>64800</v>
      </c>
      <c r="L83" s="12"/>
      <c r="M83" s="68">
        <f t="shared" si="25"/>
        <v>53234</v>
      </c>
      <c r="N83" s="68">
        <f>VLOOKUP(D83,'Life Annuity Factors'!$B$14:$I$98,8)*M83</f>
        <v>595698.84552518313</v>
      </c>
      <c r="O83" s="17">
        <f t="shared" si="34"/>
        <v>67</v>
      </c>
      <c r="P83" s="39">
        <f t="shared" si="21"/>
        <v>4043</v>
      </c>
      <c r="Q83" s="39">
        <f t="shared" si="12"/>
        <v>1427031</v>
      </c>
      <c r="R83" s="39">
        <f t="shared" si="40"/>
        <v>154467</v>
      </c>
      <c r="S83" s="39">
        <f t="shared" si="41"/>
        <v>1272564</v>
      </c>
      <c r="T83" s="39">
        <f t="shared" si="35"/>
        <v>1299775</v>
      </c>
      <c r="U83" s="39">
        <f>ROUND(T83/VLOOKUP($D83,'Life Annuity Factors'!$B$14:$I$98,8),0)</f>
        <v>116153</v>
      </c>
      <c r="W83" s="17">
        <f t="shared" si="15"/>
        <v>67</v>
      </c>
      <c r="X83" s="39">
        <f t="shared" si="16"/>
        <v>0</v>
      </c>
      <c r="Y83" s="39">
        <f t="shared" si="17"/>
        <v>0</v>
      </c>
      <c r="Z83" s="39">
        <f t="shared" si="23"/>
        <v>0</v>
      </c>
      <c r="AA83" s="39">
        <f>ROUND(Z83/VLOOKUP($D83,'Life Annuity Factors'!$B$14:$I$98,8),0)</f>
        <v>0</v>
      </c>
      <c r="AB83" s="30"/>
      <c r="AC83" s="29">
        <f t="shared" si="36"/>
        <v>47</v>
      </c>
      <c r="AD83" s="33">
        <v>0.9</v>
      </c>
      <c r="AE83" s="35"/>
    </row>
    <row r="84" spans="4:31" x14ac:dyDescent="0.25">
      <c r="D84" s="17">
        <f t="shared" si="39"/>
        <v>68</v>
      </c>
      <c r="E84" s="34">
        <f t="shared" si="37"/>
        <v>48363</v>
      </c>
      <c r="F84" s="34">
        <f t="shared" si="32"/>
        <v>58925</v>
      </c>
      <c r="G84" s="29"/>
      <c r="H84" s="34">
        <f t="shared" si="38"/>
        <v>5251</v>
      </c>
      <c r="I84" s="34">
        <f t="shared" si="33"/>
        <v>766764</v>
      </c>
      <c r="J84" s="34">
        <f t="shared" si="22"/>
        <v>766764</v>
      </c>
      <c r="K84" s="34">
        <f>ROUND(J84/VLOOKUP($D84,'Life Annuity Factors'!$B$14:$I$98,8),0)</f>
        <v>70445</v>
      </c>
      <c r="L84" s="12"/>
      <c r="M84" s="68">
        <f t="shared" si="25"/>
        <v>54910</v>
      </c>
      <c r="N84" s="68">
        <f>VLOOKUP(D84,'Life Annuity Factors'!$B$14:$I$98,8)*M84</f>
        <v>597675.36257428338</v>
      </c>
      <c r="O84" s="17">
        <f t="shared" si="34"/>
        <v>68</v>
      </c>
      <c r="P84" s="39">
        <f t="shared" si="21"/>
        <v>4084</v>
      </c>
      <c r="Q84" s="39">
        <f t="shared" si="12"/>
        <v>1545438</v>
      </c>
      <c r="R84" s="39">
        <f t="shared" si="40"/>
        <v>158551</v>
      </c>
      <c r="S84" s="39">
        <f t="shared" si="41"/>
        <v>1386887</v>
      </c>
      <c r="T84" s="39">
        <f t="shared" si="35"/>
        <v>1406749</v>
      </c>
      <c r="U84" s="39">
        <f>ROUND(T84/VLOOKUP($D84,'Life Annuity Factors'!$B$14:$I$98,8),0)</f>
        <v>129242</v>
      </c>
      <c r="W84" s="17">
        <f t="shared" si="15"/>
        <v>68</v>
      </c>
      <c r="X84" s="39">
        <f t="shared" si="16"/>
        <v>0</v>
      </c>
      <c r="Y84" s="39">
        <f t="shared" si="17"/>
        <v>0</v>
      </c>
      <c r="Z84" s="39">
        <f t="shared" si="23"/>
        <v>0</v>
      </c>
      <c r="AA84" s="39">
        <f>ROUND(Z84/VLOOKUP($D84,'Life Annuity Factors'!$B$14:$I$98,8),0)</f>
        <v>0</v>
      </c>
      <c r="AB84" s="30"/>
      <c r="AC84" s="29">
        <f t="shared" si="36"/>
        <v>48</v>
      </c>
      <c r="AD84" s="33">
        <v>0.9</v>
      </c>
      <c r="AE84" s="35"/>
    </row>
    <row r="85" spans="4:31" x14ac:dyDescent="0.25">
      <c r="D85" s="17">
        <f t="shared" si="39"/>
        <v>69</v>
      </c>
      <c r="E85" s="34">
        <f t="shared" si="37"/>
        <v>48847</v>
      </c>
      <c r="F85" s="34">
        <f t="shared" si="32"/>
        <v>59515</v>
      </c>
      <c r="G85" s="29"/>
      <c r="H85" s="34">
        <f t="shared" si="38"/>
        <v>5303</v>
      </c>
      <c r="I85" s="34">
        <f t="shared" si="33"/>
        <v>810536</v>
      </c>
      <c r="J85" s="34">
        <f t="shared" si="22"/>
        <v>810536</v>
      </c>
      <c r="K85" s="34">
        <f>ROUND(J85/VLOOKUP($D85,'Life Annuity Factors'!$B$14:$I$98,8),0)</f>
        <v>76652</v>
      </c>
      <c r="L85" s="12"/>
      <c r="M85" s="68">
        <f t="shared" si="25"/>
        <v>56614</v>
      </c>
      <c r="N85" s="68">
        <f>VLOOKUP(D85,'Life Annuity Factors'!$B$14:$I$98,8)*M85</f>
        <v>598645.89024529664</v>
      </c>
      <c r="O85" s="17">
        <f t="shared" si="34"/>
        <v>69</v>
      </c>
      <c r="P85" s="39">
        <f t="shared" si="21"/>
        <v>4125</v>
      </c>
      <c r="Q85" s="39">
        <f t="shared" si="12"/>
        <v>1673360</v>
      </c>
      <c r="R85" s="39">
        <f t="shared" si="40"/>
        <v>162676</v>
      </c>
      <c r="S85" s="39">
        <f t="shared" si="41"/>
        <v>1510684</v>
      </c>
      <c r="T85" s="39">
        <f t="shared" si="35"/>
        <v>1522292</v>
      </c>
      <c r="U85" s="39">
        <f>ROUND(T85/VLOOKUP($D85,'Life Annuity Factors'!$B$14:$I$98,8),0)</f>
        <v>143963</v>
      </c>
      <c r="W85" s="17">
        <f t="shared" si="15"/>
        <v>69</v>
      </c>
      <c r="X85" s="39">
        <f t="shared" si="16"/>
        <v>0</v>
      </c>
      <c r="Y85" s="39">
        <f t="shared" si="17"/>
        <v>0</v>
      </c>
      <c r="Z85" s="39">
        <f t="shared" si="23"/>
        <v>0</v>
      </c>
      <c r="AA85" s="39">
        <f>ROUND(Z85/VLOOKUP($D85,'Life Annuity Factors'!$B$14:$I$98,8),0)</f>
        <v>0</v>
      </c>
      <c r="AB85" s="30"/>
      <c r="AC85" s="29">
        <f t="shared" si="36"/>
        <v>49</v>
      </c>
      <c r="AD85" s="33">
        <v>0.9</v>
      </c>
      <c r="AE85" s="35"/>
    </row>
    <row r="86" spans="4:31" x14ac:dyDescent="0.25">
      <c r="D86" s="17">
        <f t="shared" si="39"/>
        <v>70</v>
      </c>
      <c r="E86" s="34">
        <f t="shared" si="37"/>
        <v>49335</v>
      </c>
      <c r="F86" s="34">
        <f t="shared" si="32"/>
        <v>60110</v>
      </c>
      <c r="G86" s="29"/>
      <c r="H86" s="34">
        <f t="shared" si="38"/>
        <v>5356</v>
      </c>
      <c r="I86" s="34">
        <f t="shared" si="33"/>
        <v>856551</v>
      </c>
      <c r="J86" s="34">
        <f t="shared" si="22"/>
        <v>856551</v>
      </c>
      <c r="K86" s="34">
        <f>ROUND(J86/VLOOKUP($D86,'Life Annuity Factors'!$B$14:$I$98,8),0)</f>
        <v>83501</v>
      </c>
      <c r="L86" s="12"/>
      <c r="M86" s="68">
        <f t="shared" si="25"/>
        <v>58348</v>
      </c>
      <c r="N86" s="68">
        <f>VLOOKUP(D86,'Life Annuity Factors'!$B$14:$I$98,8)*M86</f>
        <v>598530.55062552576</v>
      </c>
      <c r="O86" s="17">
        <f t="shared" si="34"/>
        <v>70</v>
      </c>
      <c r="P86" s="39">
        <f t="shared" si="21"/>
        <v>4166</v>
      </c>
      <c r="Q86" s="39">
        <f t="shared" si="12"/>
        <v>1811558</v>
      </c>
      <c r="R86" s="39">
        <f t="shared" si="40"/>
        <v>166842</v>
      </c>
      <c r="S86" s="39">
        <f t="shared" si="41"/>
        <v>1644716</v>
      </c>
      <c r="T86" s="39">
        <f t="shared" si="35"/>
        <v>1647086</v>
      </c>
      <c r="U86" s="39">
        <f>ROUND(T86/VLOOKUP($D86,'Life Annuity Factors'!$B$14:$I$98,8),0)</f>
        <v>160567</v>
      </c>
      <c r="W86" s="17">
        <f t="shared" si="15"/>
        <v>70</v>
      </c>
      <c r="X86" s="39">
        <f t="shared" si="16"/>
        <v>0</v>
      </c>
      <c r="Y86" s="39">
        <f t="shared" si="17"/>
        <v>0</v>
      </c>
      <c r="Z86" s="39">
        <f t="shared" si="23"/>
        <v>0</v>
      </c>
      <c r="AA86" s="39">
        <f>ROUND(Z86/VLOOKUP($D86,'Life Annuity Factors'!$B$14:$I$98,8),0)</f>
        <v>0</v>
      </c>
      <c r="AB86" s="30"/>
      <c r="AC86" s="29">
        <f t="shared" si="36"/>
        <v>50</v>
      </c>
      <c r="AD86" s="33">
        <v>0.9</v>
      </c>
      <c r="AE86" s="35"/>
    </row>
  </sheetData>
  <phoneticPr fontId="0" type="noConversion"/>
  <pageMargins left="0.75" right="0.75" top="1" bottom="1" header="0.5" footer="0.5"/>
  <pageSetup paperSize="5" scale="63" fitToWidth="2" fitToHeight="2" orientation="landscape" r:id="rId1"/>
  <headerFooter alignWithMargins="0"/>
  <rowBreaks count="1" manualBreakCount="1">
    <brk id="24" max="36" man="1"/>
  </rowBreaks>
  <colBreaks count="1" manualBreakCount="1">
    <brk id="22" max="8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3" sqref="A3"/>
    </sheetView>
  </sheetViews>
  <sheetFormatPr defaultRowHeight="15.75" x14ac:dyDescent="0.25"/>
  <cols>
    <col min="1" max="1" width="3.5703125" style="10" customWidth="1"/>
    <col min="2" max="2" width="3.7109375" style="10" customWidth="1"/>
    <col min="3" max="3" width="9.140625" style="10"/>
    <col min="4" max="4" width="33.140625" style="10" customWidth="1"/>
    <col min="5" max="16384" width="9.140625" style="10"/>
  </cols>
  <sheetData>
    <row r="1" spans="1:5" ht="18.75" x14ac:dyDescent="0.3">
      <c r="A1" s="14" t="s">
        <v>167</v>
      </c>
      <c r="B1" s="14"/>
      <c r="C1" s="14"/>
      <c r="D1" s="14"/>
      <c r="E1" s="14"/>
    </row>
    <row r="2" spans="1:5" ht="18.75" x14ac:dyDescent="0.3">
      <c r="A2" s="14" t="s">
        <v>47</v>
      </c>
      <c r="B2" s="14"/>
      <c r="C2" s="14"/>
      <c r="D2" s="14"/>
      <c r="E2" s="14"/>
    </row>
    <row r="4" spans="1:5" x14ac:dyDescent="0.25">
      <c r="A4" s="10" t="s">
        <v>35</v>
      </c>
      <c r="B4" s="10" t="s">
        <v>48</v>
      </c>
      <c r="E4" s="13">
        <v>0.09</v>
      </c>
    </row>
    <row r="5" spans="1:5" x14ac:dyDescent="0.25">
      <c r="A5" s="10" t="s">
        <v>49</v>
      </c>
      <c r="B5" s="10" t="s">
        <v>151</v>
      </c>
      <c r="E5" s="89">
        <v>499.42</v>
      </c>
    </row>
    <row r="6" spans="1:5" x14ac:dyDescent="0.25">
      <c r="A6" s="10" t="s">
        <v>152</v>
      </c>
      <c r="B6" s="10" t="s">
        <v>153</v>
      </c>
    </row>
    <row r="7" spans="1:5" x14ac:dyDescent="0.25">
      <c r="B7" s="16" t="s">
        <v>37</v>
      </c>
      <c r="C7" s="10" t="s">
        <v>154</v>
      </c>
      <c r="E7" s="90">
        <v>0.21099999999999999</v>
      </c>
    </row>
    <row r="8" spans="1:5" x14ac:dyDescent="0.25">
      <c r="B8" s="16" t="s">
        <v>38</v>
      </c>
      <c r="C8" s="10" t="s">
        <v>155</v>
      </c>
      <c r="E8" s="90">
        <v>0</v>
      </c>
    </row>
    <row r="9" spans="1:5" x14ac:dyDescent="0.25">
      <c r="B9" s="16" t="s">
        <v>39</v>
      </c>
      <c r="C9" s="10" t="s">
        <v>20</v>
      </c>
      <c r="E9" s="90">
        <v>1.49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Calculator</vt:lpstr>
      <vt:lpstr>Life Annuity Factors</vt:lpstr>
      <vt:lpstr>Calculation</vt:lpstr>
      <vt:lpstr>Inputs for RSU</vt:lpstr>
      <vt:lpstr>Calculation!Print_Area</vt:lpstr>
      <vt:lpstr>Calculator!Print_Area</vt:lpstr>
      <vt:lpstr>'Life Annuity Factors'!Print_Area</vt:lpstr>
    </vt:vector>
  </TitlesOfParts>
  <Company>FBCI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Bass</dc:creator>
  <cp:lastModifiedBy>Mark Meadors</cp:lastModifiedBy>
  <cp:lastPrinted>2014-11-10T20:47:32Z</cp:lastPrinted>
  <dcterms:created xsi:type="dcterms:W3CDTF">2004-07-02T13:57:04Z</dcterms:created>
  <dcterms:modified xsi:type="dcterms:W3CDTF">2014-11-10T21:11:48Z</dcterms:modified>
</cp:coreProperties>
</file>